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960" windowHeight="8270" activeTab="2"/>
  </bookViews>
  <sheets>
    <sheet name="Method Comparison" sheetId="5" r:id="rId1"/>
    <sheet name="Alt Method Comparison" sheetId="1" r:id="rId2"/>
    <sheet name="Sigma Metric" sheetId="4" r:id="rId3"/>
  </sheets>
  <definedNames>
    <definedName name="CMTable">'Sigma Metric'!$A$113:$A$120</definedName>
    <definedName name="precmeans" localSheetId="2">'Sigma Metric'!$E$4:$E$7</definedName>
    <definedName name="_xlnm.Print_Area" localSheetId="1">'Alt Method Comparison'!$A$1:$Y$44</definedName>
  </definedNames>
  <calcPr calcId="145621"/>
</workbook>
</file>

<file path=xl/calcChain.xml><?xml version="1.0" encoding="utf-8"?>
<calcChain xmlns="http://schemas.openxmlformats.org/spreadsheetml/2006/main">
  <c r="E2" i="5" l="1"/>
  <c r="P5" i="1"/>
  <c r="J7" i="1"/>
  <c r="J6" i="1"/>
  <c r="J5" i="1"/>
  <c r="C39" i="5"/>
  <c r="D39" i="5" s="1"/>
  <c r="C38" i="5"/>
  <c r="C37" i="5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D23" i="1" s="1"/>
  <c r="B23" i="1"/>
  <c r="C22" i="1"/>
  <c r="B22" i="1"/>
  <c r="C21" i="1"/>
  <c r="B21" i="1"/>
  <c r="C20" i="1"/>
  <c r="B20" i="1"/>
  <c r="C19" i="1"/>
  <c r="D19" i="1" s="1"/>
  <c r="R10" i="1" s="1"/>
  <c r="B19" i="1"/>
  <c r="C18" i="1"/>
  <c r="B18" i="1"/>
  <c r="C17" i="1"/>
  <c r="D17" i="1" s="1"/>
  <c r="B17" i="1"/>
  <c r="C16" i="1"/>
  <c r="B16" i="1"/>
  <c r="C15" i="1"/>
  <c r="D15" i="1" s="1"/>
  <c r="R6" i="1" s="1"/>
  <c r="B15" i="1"/>
  <c r="C14" i="1"/>
  <c r="B14" i="1"/>
  <c r="D14" i="1" s="1"/>
  <c r="R5" i="1" s="1"/>
  <c r="C13" i="1"/>
  <c r="B13" i="1"/>
  <c r="C12" i="1"/>
  <c r="B12" i="1"/>
  <c r="C11" i="1"/>
  <c r="I16" i="1" s="1"/>
  <c r="B11" i="1"/>
  <c r="P8" i="1"/>
  <c r="O8" i="1"/>
  <c r="C40" i="1" s="1"/>
  <c r="J8" i="1"/>
  <c r="B3" i="4" s="1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C36" i="5"/>
  <c r="B36" i="5"/>
  <c r="C35" i="5"/>
  <c r="B35" i="5"/>
  <c r="C34" i="5"/>
  <c r="B34" i="5"/>
  <c r="D33" i="5"/>
  <c r="E33" i="5"/>
  <c r="H33" i="5" s="1"/>
  <c r="D32" i="5"/>
  <c r="E32" i="5" s="1"/>
  <c r="H32" i="5" s="1"/>
  <c r="D31" i="5"/>
  <c r="E31" i="5"/>
  <c r="H31" i="5"/>
  <c r="D30" i="5"/>
  <c r="E30" i="5" s="1"/>
  <c r="H30" i="5" s="1"/>
  <c r="D29" i="5"/>
  <c r="E29" i="5"/>
  <c r="H29" i="5" s="1"/>
  <c r="D28" i="5"/>
  <c r="E28" i="5"/>
  <c r="H28" i="5"/>
  <c r="D27" i="5"/>
  <c r="E27" i="5"/>
  <c r="H27" i="5" s="1"/>
  <c r="D26" i="5"/>
  <c r="E26" i="5" s="1"/>
  <c r="H26" i="5" s="1"/>
  <c r="D25" i="5"/>
  <c r="E25" i="5"/>
  <c r="H25" i="5" s="1"/>
  <c r="D24" i="5"/>
  <c r="E24" i="5" s="1"/>
  <c r="H24" i="5" s="1"/>
  <c r="D23" i="5"/>
  <c r="E23" i="5"/>
  <c r="H23" i="5"/>
  <c r="D22" i="5"/>
  <c r="E22" i="5" s="1"/>
  <c r="H22" i="5" s="1"/>
  <c r="D21" i="5"/>
  <c r="E21" i="5"/>
  <c r="H21" i="5" s="1"/>
  <c r="D20" i="5"/>
  <c r="E20" i="5"/>
  <c r="H20" i="5"/>
  <c r="D19" i="5"/>
  <c r="E19" i="5"/>
  <c r="H19" i="5" s="1"/>
  <c r="D18" i="5"/>
  <c r="E18" i="5" s="1"/>
  <c r="H18" i="5" s="1"/>
  <c r="D17" i="5"/>
  <c r="E17" i="5"/>
  <c r="H17" i="5" s="1"/>
  <c r="D16" i="5"/>
  <c r="E16" i="5"/>
  <c r="H16" i="5"/>
  <c r="D15" i="5"/>
  <c r="E15" i="5"/>
  <c r="H15" i="5"/>
  <c r="D14" i="5"/>
  <c r="E14" i="5" s="1"/>
  <c r="A15" i="5"/>
  <c r="A16" i="5"/>
  <c r="A17" i="5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M4" i="4"/>
  <c r="F16" i="4" a="1"/>
  <c r="F16" i="4" s="1"/>
  <c r="L4" i="4"/>
  <c r="G15" i="4" s="1" a="1"/>
  <c r="G15" i="4" s="1"/>
  <c r="K4" i="4"/>
  <c r="G14" i="4" s="1" a="1"/>
  <c r="G14" i="4" s="1"/>
  <c r="J4" i="4"/>
  <c r="I4" i="4"/>
  <c r="G16" i="4" a="1"/>
  <c r="G16" i="4" s="1"/>
  <c r="F15" i="4" a="1"/>
  <c r="F15" i="4" s="1"/>
  <c r="G13" i="4" a="1"/>
  <c r="G13" i="4" s="1"/>
  <c r="F13" i="4" a="1"/>
  <c r="F13" i="4" s="1"/>
  <c r="I13" i="4" s="1"/>
  <c r="G12" i="4" a="1"/>
  <c r="G12" i="4" s="1"/>
  <c r="F12" i="4" a="1"/>
  <c r="F12" i="4" s="1"/>
  <c r="I12" i="4" s="1"/>
  <c r="G6" i="4"/>
  <c r="G4" i="4"/>
  <c r="D28" i="1"/>
  <c r="R19" i="1" s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F14" i="4" a="1"/>
  <c r="F14" i="4"/>
  <c r="I14" i="4" s="1"/>
  <c r="C37" i="1"/>
  <c r="J39" i="1"/>
  <c r="B55" i="1"/>
  <c r="J16" i="4" l="1"/>
  <c r="H16" i="4" s="1"/>
  <c r="J14" i="4"/>
  <c r="H14" i="4" s="1"/>
  <c r="J13" i="4"/>
  <c r="H13" i="4" s="1"/>
  <c r="I15" i="4"/>
  <c r="I16" i="4"/>
  <c r="J15" i="4"/>
  <c r="D29" i="1"/>
  <c r="R20" i="1" s="1"/>
  <c r="D27" i="1"/>
  <c r="R18" i="1" s="1"/>
  <c r="D21" i="1"/>
  <c r="R12" i="1" s="1"/>
  <c r="D25" i="1"/>
  <c r="H12" i="4"/>
  <c r="L12" i="4"/>
  <c r="J12" i="4"/>
  <c r="E34" i="5"/>
  <c r="H14" i="5"/>
  <c r="H34" i="5" s="1"/>
  <c r="E35" i="5"/>
  <c r="E36" i="5"/>
  <c r="D34" i="5"/>
  <c r="D36" i="5"/>
  <c r="D35" i="5"/>
  <c r="C31" i="1"/>
  <c r="J43" i="1" s="1"/>
  <c r="C46" i="1"/>
  <c r="B58" i="1"/>
  <c r="B53" i="1"/>
  <c r="C50" i="1"/>
  <c r="G30" i="1"/>
  <c r="D18" i="1"/>
  <c r="R9" i="1" s="1"/>
  <c r="B54" i="1"/>
  <c r="B43" i="1"/>
  <c r="B32" i="1"/>
  <c r="L42" i="1" s="1"/>
  <c r="D12" i="1"/>
  <c r="R3" i="1" s="1"/>
  <c r="B44" i="1"/>
  <c r="B48" i="1"/>
  <c r="D24" i="1"/>
  <c r="R15" i="1" s="1"/>
  <c r="J38" i="1"/>
  <c r="N36" i="1" a="1"/>
  <c r="N36" i="1" s="1"/>
  <c r="C49" i="1"/>
  <c r="B46" i="1"/>
  <c r="B50" i="1"/>
  <c r="C58" i="1"/>
  <c r="B52" i="1"/>
  <c r="B41" i="1"/>
  <c r="B51" i="1"/>
  <c r="C42" i="1"/>
  <c r="B57" i="1"/>
  <c r="B40" i="1"/>
  <c r="D11" i="1"/>
  <c r="R2" i="1" s="1"/>
  <c r="B45" i="1"/>
  <c r="C41" i="1"/>
  <c r="G31" i="1"/>
  <c r="C47" i="1"/>
  <c r="B47" i="1"/>
  <c r="C52" i="1"/>
  <c r="C45" i="1"/>
  <c r="B42" i="1"/>
  <c r="B31" i="1"/>
  <c r="J42" i="1" s="1"/>
  <c r="B39" i="1"/>
  <c r="D13" i="1"/>
  <c r="R4" i="1" s="1"/>
  <c r="C48" i="1"/>
  <c r="G32" i="1"/>
  <c r="D16" i="1"/>
  <c r="D20" i="1"/>
  <c r="R11" i="1" s="1"/>
  <c r="C44" i="1"/>
  <c r="B49" i="1"/>
  <c r="G27" i="1"/>
  <c r="D10" i="4"/>
  <c r="G28" i="1"/>
  <c r="B56" i="1"/>
  <c r="C57" i="1"/>
  <c r="J36" i="1"/>
  <c r="B4" i="4" s="1"/>
  <c r="C43" i="1"/>
  <c r="C51" i="1"/>
  <c r="C53" i="1"/>
  <c r="D22" i="1"/>
  <c r="R13" i="1" s="1"/>
  <c r="D26" i="1"/>
  <c r="R17" i="1" s="1"/>
  <c r="D30" i="1"/>
  <c r="R21" i="1" s="1"/>
  <c r="R14" i="1"/>
  <c r="R7" i="1"/>
  <c r="R16" i="1"/>
  <c r="J37" i="1"/>
  <c r="G29" i="1"/>
  <c r="C55" i="1"/>
  <c r="C10" i="4"/>
  <c r="C54" i="1"/>
  <c r="R8" i="1"/>
  <c r="C56" i="1"/>
  <c r="C39" i="1"/>
  <c r="J40" i="1"/>
  <c r="H16" i="1"/>
  <c r="C32" i="1"/>
  <c r="L43" i="1" s="1"/>
  <c r="H15" i="4" l="1"/>
  <c r="K15" i="4" s="1"/>
  <c r="L15" i="4" s="1"/>
  <c r="J1" i="4"/>
  <c r="J2" i="4" s="1"/>
  <c r="M13" i="4"/>
  <c r="K13" i="4"/>
  <c r="L13" i="4" s="1"/>
  <c r="K16" i="4"/>
  <c r="L16" i="4" s="1"/>
  <c r="M16" i="4"/>
  <c r="M1" i="4"/>
  <c r="M2" i="4" s="1"/>
  <c r="M15" i="4"/>
  <c r="L1" i="4"/>
  <c r="L2" i="4" s="1"/>
  <c r="M14" i="4"/>
  <c r="K1" i="4"/>
  <c r="K2" i="4" s="1"/>
  <c r="K14" i="4"/>
  <c r="L14" i="4" s="1"/>
  <c r="K12" i="4"/>
  <c r="M12" i="4"/>
  <c r="I1" i="4"/>
  <c r="I2" i="4" s="1"/>
  <c r="F35" i="5"/>
  <c r="A12" i="5"/>
  <c r="O38" i="1"/>
  <c r="O36" i="1"/>
  <c r="N40" i="1"/>
  <c r="N38" i="1"/>
  <c r="O40" i="1"/>
  <c r="D33" i="1"/>
  <c r="D34" i="1" s="1"/>
  <c r="N39" i="1"/>
  <c r="O39" i="1"/>
  <c r="N37" i="1"/>
  <c r="L36" i="1" s="1"/>
  <c r="O37" i="1"/>
  <c r="L37" i="1" s="1"/>
  <c r="D32" i="1"/>
  <c r="D31" i="1"/>
  <c r="I6" i="4"/>
  <c r="M6" i="4"/>
  <c r="L6" i="4"/>
  <c r="J6" i="4"/>
  <c r="K6" i="4"/>
  <c r="J29" i="1"/>
  <c r="B5" i="4"/>
  <c r="L5" i="4" s="1"/>
  <c r="L7" i="4" s="1"/>
  <c r="I15" i="1"/>
  <c r="J30" i="1"/>
  <c r="J31" i="1"/>
  <c r="J28" i="1"/>
  <c r="J27" i="1"/>
  <c r="N16" i="4" l="1"/>
  <c r="O16" i="4" s="1"/>
  <c r="P16" i="4"/>
  <c r="M8" i="4" s="1"/>
  <c r="M21" i="4" s="1"/>
  <c r="P14" i="4"/>
  <c r="K8" i="4" s="1"/>
  <c r="N14" i="4"/>
  <c r="O14" i="4" s="1"/>
  <c r="N15" i="4"/>
  <c r="O15" i="4" s="1"/>
  <c r="P15" i="4"/>
  <c r="L8" i="4" s="1"/>
  <c r="L9" i="4" s="1"/>
  <c r="L10" i="4" s="1"/>
  <c r="N13" i="4"/>
  <c r="O13" i="4" s="1"/>
  <c r="P13" i="4" s="1"/>
  <c r="J8" i="4" s="1"/>
  <c r="J21" i="4" s="1"/>
  <c r="P12" i="4"/>
  <c r="I8" i="4" s="1"/>
  <c r="I21" i="4" s="1"/>
  <c r="N12" i="4"/>
  <c r="O12" i="4" s="1"/>
  <c r="L20" i="4"/>
  <c r="J41" i="1"/>
  <c r="M28" i="1"/>
  <c r="O27" i="1"/>
  <c r="O30" i="1"/>
  <c r="O28" i="1"/>
  <c r="O29" i="1"/>
  <c r="I5" i="4"/>
  <c r="I7" i="4" s="1"/>
  <c r="I20" i="4" s="1"/>
  <c r="M31" i="1"/>
  <c r="M27" i="1"/>
  <c r="M29" i="1"/>
  <c r="M30" i="1"/>
  <c r="O31" i="1"/>
  <c r="J5" i="4"/>
  <c r="J7" i="4" s="1"/>
  <c r="J20" i="4" s="1"/>
  <c r="M5" i="4"/>
  <c r="M7" i="4" s="1"/>
  <c r="M20" i="4" s="1"/>
  <c r="K21" i="4"/>
  <c r="E27" i="1"/>
  <c r="F27" i="1" s="1"/>
  <c r="E12" i="1"/>
  <c r="F12" i="1" s="1"/>
  <c r="E18" i="1"/>
  <c r="F18" i="1" s="1"/>
  <c r="E21" i="1"/>
  <c r="F21" i="1" s="1"/>
  <c r="E15" i="1"/>
  <c r="F15" i="1" s="1"/>
  <c r="E24" i="1"/>
  <c r="F24" i="1" s="1"/>
  <c r="E19" i="1"/>
  <c r="F19" i="1" s="1"/>
  <c r="E23" i="1"/>
  <c r="F23" i="1" s="1"/>
  <c r="E30" i="1"/>
  <c r="F30" i="1" s="1"/>
  <c r="E13" i="1"/>
  <c r="F13" i="1" s="1"/>
  <c r="E17" i="1"/>
  <c r="F17" i="1" s="1"/>
  <c r="E16" i="1"/>
  <c r="F16" i="1" s="1"/>
  <c r="E11" i="1"/>
  <c r="F11" i="1" s="1"/>
  <c r="E28" i="1"/>
  <c r="F28" i="1" s="1"/>
  <c r="E14" i="1"/>
  <c r="F14" i="1" s="1"/>
  <c r="E25" i="1"/>
  <c r="F25" i="1" s="1"/>
  <c r="E22" i="1"/>
  <c r="F22" i="1" s="1"/>
  <c r="E20" i="1"/>
  <c r="F20" i="1" s="1"/>
  <c r="E29" i="1"/>
  <c r="F29" i="1" s="1"/>
  <c r="E26" i="1"/>
  <c r="F26" i="1" s="1"/>
  <c r="L21" i="4"/>
  <c r="E31" i="1"/>
  <c r="E33" i="1" s="1"/>
  <c r="J44" i="1" s="1"/>
  <c r="K5" i="4"/>
  <c r="K7" i="4" s="1"/>
  <c r="K20" i="4" s="1"/>
  <c r="Q27" i="1" l="1"/>
  <c r="Q28" i="1"/>
  <c r="Q30" i="1"/>
  <c r="Q29" i="1"/>
  <c r="Q31" i="1"/>
  <c r="J9" i="4"/>
  <c r="J10" i="4" s="1"/>
  <c r="I9" i="4"/>
  <c r="I10" i="4" s="1"/>
  <c r="M9" i="4"/>
  <c r="M10" i="4" s="1"/>
  <c r="F31" i="1"/>
  <c r="K9" i="4"/>
  <c r="K10" i="4" s="1"/>
</calcChain>
</file>

<file path=xl/sharedStrings.xml><?xml version="1.0" encoding="utf-8"?>
<sst xmlns="http://schemas.openxmlformats.org/spreadsheetml/2006/main" count="102" uniqueCount="80">
  <si>
    <t>Spec#</t>
  </si>
  <si>
    <t>X</t>
  </si>
  <si>
    <t>Y</t>
  </si>
  <si>
    <t>∆</t>
  </si>
  <si>
    <t>Mean</t>
  </si>
  <si>
    <t>SD</t>
  </si>
  <si>
    <t>Alternate (Quantitative) Method Comparison</t>
  </si>
  <si>
    <t>Method being evaluated:</t>
  </si>
  <si>
    <t xml:space="preserve">Reference Method: </t>
  </si>
  <si>
    <t>Analyte:</t>
  </si>
  <si>
    <t>Units:</t>
  </si>
  <si>
    <t>Slope</t>
  </si>
  <si>
    <t>Intercept</t>
  </si>
  <si>
    <t>Regression Statistics</t>
  </si>
  <si>
    <t>Std Err Est</t>
  </si>
  <si>
    <t>((Y-X)-Bias)^2</t>
  </si>
  <si>
    <t>Bias</t>
  </si>
  <si>
    <t>Correl Coef (R):</t>
  </si>
  <si>
    <t>Bias:</t>
  </si>
  <si>
    <t>±</t>
  </si>
  <si>
    <t>Std Dev Diffs:</t>
  </si>
  <si>
    <t>X Method</t>
  </si>
  <si>
    <t xml:space="preserve"> MDP</t>
  </si>
  <si>
    <t xml:space="preserve">Y Method </t>
  </si>
  <si>
    <t>Pred. MDP</t>
  </si>
  <si>
    <t>95% Conf. Limits</t>
  </si>
  <si>
    <t>Low</t>
  </si>
  <si>
    <t>High</t>
  </si>
  <si>
    <t>Grade</t>
  </si>
  <si>
    <t>Date:</t>
  </si>
  <si>
    <t>Conc.</t>
  </si>
  <si>
    <t>Pct.</t>
  </si>
  <si>
    <t>slope err</t>
  </si>
  <si>
    <t>Interc?</t>
  </si>
  <si>
    <t>Regression Experiment</t>
  </si>
  <si>
    <t>Precision Experiment</t>
  </si>
  <si>
    <t>Units</t>
  </si>
  <si>
    <t>%CV</t>
  </si>
  <si>
    <t>Medical Decision Points</t>
  </si>
  <si>
    <t>MDP</t>
  </si>
  <si>
    <t>Predicted MDP</t>
  </si>
  <si>
    <t>Allowable Err</t>
  </si>
  <si>
    <t>Systematic Err</t>
  </si>
  <si>
    <t>Random Err</t>
  </si>
  <si>
    <t>Percent</t>
  </si>
  <si>
    <t>Sigma Metric</t>
  </si>
  <si>
    <t>Total Allowable Error</t>
  </si>
  <si>
    <t>high or low</t>
  </si>
  <si>
    <r>
      <t>High</t>
    </r>
    <r>
      <rPr>
        <sz val="11"/>
        <color indexed="9"/>
        <rFont val="Calibri"/>
        <family val="2"/>
      </rPr>
      <t>∆</t>
    </r>
  </si>
  <si>
    <r>
      <t>Low</t>
    </r>
    <r>
      <rPr>
        <sz val="11"/>
        <color indexed="9"/>
        <rFont val="Calibri"/>
        <family val="2"/>
      </rPr>
      <t>∆</t>
    </r>
  </si>
  <si>
    <r>
      <t>app.</t>
    </r>
    <r>
      <rPr>
        <sz val="11"/>
        <color indexed="9"/>
        <rFont val="Calibri"/>
        <family val="2"/>
      </rPr>
      <t>∆</t>
    </r>
  </si>
  <si>
    <t>ABS(High-low)</t>
  </si>
  <si>
    <t>inapp %CV</t>
  </si>
  <si>
    <r>
      <t>%CV</t>
    </r>
    <r>
      <rPr>
        <sz val="11"/>
        <color indexed="9"/>
        <rFont val="Calibri"/>
        <family val="2"/>
      </rPr>
      <t>∆</t>
    </r>
  </si>
  <si>
    <t>Midrat</t>
  </si>
  <si>
    <t>rat%cv</t>
  </si>
  <si>
    <t>se%</t>
  </si>
  <si>
    <t>re%</t>
  </si>
  <si>
    <t>Total Allowable Error (TEa):</t>
  </si>
  <si>
    <t>Δ</t>
  </si>
  <si>
    <t>Error Index</t>
  </si>
  <si>
    <t>Min</t>
  </si>
  <si>
    <t>Max</t>
  </si>
  <si>
    <t>High lmt</t>
  </si>
  <si>
    <t>Low lmt</t>
  </si>
  <si>
    <t>Correl. Coef. (R)</t>
  </si>
  <si>
    <t xml:space="preserve"> Quantitative Method Comparison</t>
  </si>
  <si>
    <t>Method being evaluated (Y):</t>
  </si>
  <si>
    <t xml:space="preserve">Reference Method (X): </t>
  </si>
  <si>
    <t>Roche e-411</t>
  </si>
  <si>
    <t>Roche - LabCorp</t>
  </si>
  <si>
    <t>ug/dL</t>
  </si>
  <si>
    <t xml:space="preserve">                Accepted by:</t>
  </si>
  <si>
    <t>Analyst:</t>
  </si>
  <si>
    <t>_____________________________________</t>
  </si>
  <si>
    <t>Date:_____________</t>
  </si>
  <si>
    <t xml:space="preserve">            Laboratory:</t>
  </si>
  <si>
    <t>Total T4</t>
  </si>
  <si>
    <r>
      <t xml:space="preserve">X Mean </t>
    </r>
    <r>
      <rPr>
        <sz val="14"/>
        <color indexed="8"/>
        <rFont val="Calibri"/>
        <family val="2"/>
      </rPr>
      <t>± SD:</t>
    </r>
  </si>
  <si>
    <r>
      <t xml:space="preserve">Y Mean </t>
    </r>
    <r>
      <rPr>
        <sz val="14"/>
        <color indexed="8"/>
        <rFont val="Calibri"/>
        <family val="2"/>
      </rPr>
      <t>± SD: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</si>
</sst>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"/>
    <numFmt numFmtId="167" formatCode="0.0%"/>
  </numFmts>
  <fonts count="28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1"/>
      <color indexed="9"/>
      <name val="Calibri"/>
      <family val="2"/>
    </font>
    <font>
      <sz val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2"/>
      <color theme="0"/>
      <name val="Courier New"/>
      <family val="3"/>
    </font>
    <font>
      <i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22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2" xfId="0" applyBorder="1"/>
    <xf numFmtId="0" fontId="0" fillId="0" borderId="0" xfId="0" applyBorder="1"/>
    <xf numFmtId="164" fontId="0" fillId="0" borderId="0" xfId="0" applyNumberFormat="1" applyBorder="1" applyAlignment="1"/>
    <xf numFmtId="2" fontId="0" fillId="0" borderId="0" xfId="0" applyNumberFormat="1" applyBorder="1" applyAlignment="1"/>
    <xf numFmtId="0" fontId="3" fillId="2" borderId="0" xfId="0" applyFont="1" applyFill="1" applyBorder="1" applyAlignment="1"/>
    <xf numFmtId="0" fontId="4" fillId="2" borderId="0" xfId="0" applyFont="1" applyFill="1" applyBorder="1" applyAlignment="1"/>
    <xf numFmtId="2" fontId="0" fillId="0" borderId="0" xfId="0" applyNumberFormat="1"/>
    <xf numFmtId="164" fontId="0" fillId="0" borderId="6" xfId="0" applyNumberFormat="1" applyBorder="1" applyAlignment="1"/>
    <xf numFmtId="0" fontId="0" fillId="3" borderId="9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/>
    <xf numFmtId="0" fontId="8" fillId="0" borderId="0" xfId="0" applyFont="1"/>
    <xf numFmtId="0" fontId="0" fillId="0" borderId="10" xfId="0" applyBorder="1"/>
    <xf numFmtId="0" fontId="10" fillId="0" borderId="0" xfId="0" applyFont="1" applyProtection="1">
      <protection hidden="1"/>
    </xf>
    <xf numFmtId="0" fontId="8" fillId="6" borderId="6" xfId="0" applyFont="1" applyFill="1" applyBorder="1" applyAlignment="1">
      <alignment horizontal="right"/>
    </xf>
    <xf numFmtId="0" fontId="0" fillId="6" borderId="3" xfId="0" applyFill="1" applyBorder="1"/>
    <xf numFmtId="0" fontId="8" fillId="6" borderId="0" xfId="0" applyFont="1" applyFill="1"/>
    <xf numFmtId="0" fontId="8" fillId="6" borderId="0" xfId="0" applyFont="1" applyFill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11" fillId="7" borderId="0" xfId="0" applyFont="1" applyFill="1" applyAlignment="1">
      <alignment vertical="center"/>
    </xf>
    <xf numFmtId="0" fontId="8" fillId="7" borderId="0" xfId="0" applyFont="1" applyFill="1"/>
    <xf numFmtId="0" fontId="0" fillId="4" borderId="11" xfId="0" applyFill="1" applyBorder="1" applyProtection="1">
      <protection locked="0"/>
    </xf>
    <xf numFmtId="166" fontId="0" fillId="0" borderId="11" xfId="0" applyNumberFormat="1" applyBorder="1"/>
    <xf numFmtId="166" fontId="0" fillId="0" borderId="11" xfId="0" applyNumberFormat="1" applyBorder="1" applyAlignment="1">
      <alignment horizontal="right"/>
    </xf>
    <xf numFmtId="0" fontId="8" fillId="6" borderId="7" xfId="0" applyFont="1" applyFill="1" applyBorder="1"/>
    <xf numFmtId="0" fontId="0" fillId="6" borderId="1" xfId="0" applyFill="1" applyBorder="1"/>
    <xf numFmtId="0" fontId="0" fillId="6" borderId="4" xfId="0" applyFill="1" applyBorder="1"/>
    <xf numFmtId="0" fontId="0" fillId="0" borderId="11" xfId="0" applyBorder="1"/>
    <xf numFmtId="0" fontId="0" fillId="0" borderId="11" xfId="0" applyBorder="1" applyAlignment="1">
      <alignment horizontal="right"/>
    </xf>
    <xf numFmtId="0" fontId="0" fillId="0" borderId="8" xfId="0" applyBorder="1"/>
    <xf numFmtId="0" fontId="0" fillId="2" borderId="8" xfId="0" applyFill="1" applyBorder="1"/>
    <xf numFmtId="0" fontId="0" fillId="0" borderId="0" xfId="0" applyBorder="1" applyAlignment="1">
      <alignment horizontal="left"/>
    </xf>
    <xf numFmtId="2" fontId="0" fillId="0" borderId="11" xfId="0" applyNumberFormat="1" applyBorder="1"/>
    <xf numFmtId="0" fontId="0" fillId="0" borderId="11" xfId="0" applyBorder="1" applyAlignment="1">
      <alignment horizontal="center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Border="1"/>
    <xf numFmtId="0" fontId="8" fillId="0" borderId="0" xfId="0" applyFont="1" applyBorder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2" fontId="8" fillId="0" borderId="0" xfId="0" applyNumberFormat="1" applyFont="1" applyAlignment="1">
      <alignment horizontal="center"/>
    </xf>
    <xf numFmtId="167" fontId="8" fillId="0" borderId="0" xfId="0" applyNumberFormat="1" applyFont="1" applyProtection="1">
      <protection hidden="1"/>
    </xf>
    <xf numFmtId="0" fontId="0" fillId="8" borderId="1" xfId="0" applyFill="1" applyBorder="1" applyProtection="1">
      <protection locked="0"/>
    </xf>
    <xf numFmtId="0" fontId="0" fillId="5" borderId="0" xfId="0" applyFill="1" applyProtection="1">
      <protection locked="0"/>
    </xf>
    <xf numFmtId="0" fontId="0" fillId="5" borderId="10" xfId="0" applyFill="1" applyBorder="1" applyProtection="1">
      <protection locked="0"/>
    </xf>
    <xf numFmtId="0" fontId="8" fillId="0" borderId="0" xfId="0" applyFont="1" applyAlignment="1">
      <alignment horizontal="left"/>
    </xf>
    <xf numFmtId="0" fontId="12" fillId="0" borderId="0" xfId="0" applyFont="1" applyProtection="1">
      <protection hidden="1"/>
    </xf>
    <xf numFmtId="0" fontId="0" fillId="9" borderId="11" xfId="0" applyFill="1" applyBorder="1" applyProtection="1"/>
    <xf numFmtId="0" fontId="0" fillId="9" borderId="11" xfId="0" applyFill="1" applyBorder="1" applyAlignment="1" applyProtection="1">
      <alignment horizontal="right"/>
    </xf>
    <xf numFmtId="2" fontId="0" fillId="9" borderId="11" xfId="0" applyNumberFormat="1" applyFill="1" applyBorder="1" applyAlignment="1" applyProtection="1">
      <alignment horizontal="right"/>
    </xf>
    <xf numFmtId="0" fontId="0" fillId="0" borderId="0" xfId="0" applyFill="1" applyBorder="1" applyAlignment="1"/>
    <xf numFmtId="0" fontId="10" fillId="0" borderId="0" xfId="0" applyFont="1" applyBorder="1"/>
    <xf numFmtId="0" fontId="13" fillId="0" borderId="0" xfId="0" applyFont="1" applyFill="1" applyBorder="1" applyAlignment="1">
      <alignment horizontal="centerContinuous"/>
    </xf>
    <xf numFmtId="0" fontId="13" fillId="0" borderId="0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9" borderId="11" xfId="0" applyNumberForma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0" fillId="8" borderId="2" xfId="0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0" fontId="1" fillId="0" borderId="0" xfId="0" applyFont="1" applyBorder="1"/>
    <xf numFmtId="164" fontId="0" fillId="0" borderId="0" xfId="0" applyNumberFormat="1"/>
    <xf numFmtId="0" fontId="0" fillId="9" borderId="0" xfId="0" applyFill="1" applyProtection="1"/>
    <xf numFmtId="0" fontId="0" fillId="9" borderId="10" xfId="0" applyFill="1" applyBorder="1" applyProtection="1"/>
    <xf numFmtId="0" fontId="0" fillId="10" borderId="0" xfId="0" applyFill="1"/>
    <xf numFmtId="0" fontId="0" fillId="10" borderId="10" xfId="0" applyFill="1" applyBorder="1"/>
    <xf numFmtId="0" fontId="10" fillId="10" borderId="10" xfId="0" applyFont="1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0" fillId="3" borderId="13" xfId="0" applyFill="1" applyBorder="1"/>
    <xf numFmtId="0" fontId="8" fillId="9" borderId="0" xfId="0" applyFont="1" applyFill="1"/>
    <xf numFmtId="2" fontId="0" fillId="0" borderId="0" xfId="0" applyNumberFormat="1" applyBorder="1"/>
    <xf numFmtId="0" fontId="10" fillId="0" borderId="0" xfId="0" applyFont="1" applyAlignment="1">
      <alignment wrapText="1"/>
    </xf>
    <xf numFmtId="0" fontId="0" fillId="8" borderId="1" xfId="0" applyFill="1" applyBorder="1" applyAlignment="1" applyProtection="1">
      <protection locked="0"/>
    </xf>
    <xf numFmtId="0" fontId="0" fillId="8" borderId="2" xfId="0" applyFill="1" applyBorder="1" applyAlignment="1" applyProtection="1">
      <protection locked="0"/>
    </xf>
    <xf numFmtId="14" fontId="0" fillId="8" borderId="1" xfId="0" applyNumberFormat="1" applyFill="1" applyBorder="1" applyAlignment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9" borderId="0" xfId="0" applyFill="1"/>
    <xf numFmtId="0" fontId="0" fillId="8" borderId="2" xfId="0" applyFill="1" applyBorder="1"/>
    <xf numFmtId="0" fontId="0" fillId="9" borderId="0" xfId="0" applyFill="1" applyBorder="1" applyProtection="1">
      <protection locked="0"/>
    </xf>
    <xf numFmtId="0" fontId="14" fillId="8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left"/>
    </xf>
    <xf numFmtId="0" fontId="16" fillId="0" borderId="0" xfId="0" applyFont="1"/>
    <xf numFmtId="0" fontId="17" fillId="0" borderId="0" xfId="0" applyFont="1"/>
    <xf numFmtId="0" fontId="19" fillId="0" borderId="0" xfId="0" applyFont="1"/>
    <xf numFmtId="0" fontId="20" fillId="0" borderId="0" xfId="0" applyFont="1"/>
    <xf numFmtId="0" fontId="16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19" fillId="9" borderId="2" xfId="0" applyFont="1" applyFill="1" applyBorder="1" applyProtection="1"/>
    <xf numFmtId="0" fontId="19" fillId="0" borderId="2" xfId="0" applyFont="1" applyBorder="1"/>
    <xf numFmtId="0" fontId="19" fillId="9" borderId="1" xfId="0" applyFont="1" applyFill="1" applyBorder="1" applyProtection="1"/>
    <xf numFmtId="0" fontId="19" fillId="0" borderId="0" xfId="0" applyFont="1" applyBorder="1"/>
    <xf numFmtId="0" fontId="21" fillId="2" borderId="0" xfId="0" applyFont="1" applyFill="1" applyBorder="1" applyAlignment="1"/>
    <xf numFmtId="0" fontId="23" fillId="0" borderId="0" xfId="0" applyFont="1" applyBorder="1" applyAlignment="1"/>
    <xf numFmtId="0" fontId="23" fillId="0" borderId="5" xfId="0" applyFont="1" applyBorder="1" applyAlignment="1"/>
    <xf numFmtId="164" fontId="19" fillId="0" borderId="0" xfId="0" applyNumberFormat="1" applyFont="1" applyBorder="1" applyAlignment="1"/>
    <xf numFmtId="0" fontId="24" fillId="0" borderId="0" xfId="0" applyFont="1"/>
    <xf numFmtId="165" fontId="19" fillId="0" borderId="9" xfId="0" applyNumberFormat="1" applyFont="1" applyBorder="1" applyAlignment="1">
      <alignment horizontal="left"/>
    </xf>
    <xf numFmtId="0" fontId="23" fillId="0" borderId="6" xfId="0" applyFont="1" applyBorder="1" applyAlignment="1"/>
    <xf numFmtId="2" fontId="19" fillId="0" borderId="0" xfId="0" applyNumberFormat="1" applyFont="1" applyBorder="1" applyAlignment="1"/>
    <xf numFmtId="165" fontId="19" fillId="0" borderId="3" xfId="0" applyNumberFormat="1" applyFont="1" applyBorder="1" applyAlignment="1">
      <alignment horizontal="left"/>
    </xf>
    <xf numFmtId="0" fontId="23" fillId="0" borderId="7" xfId="0" applyFont="1" applyBorder="1"/>
    <xf numFmtId="164" fontId="19" fillId="0" borderId="1" xfId="0" applyNumberFormat="1" applyFont="1" applyBorder="1"/>
    <xf numFmtId="0" fontId="19" fillId="0" borderId="1" xfId="0" applyFont="1" applyBorder="1"/>
    <xf numFmtId="0" fontId="19" fillId="0" borderId="4" xfId="0" applyFont="1" applyBorder="1"/>
    <xf numFmtId="0" fontId="23" fillId="0" borderId="0" xfId="0" applyFont="1" applyFill="1" applyBorder="1"/>
    <xf numFmtId="165" fontId="19" fillId="0" borderId="0" xfId="0" applyNumberFormat="1" applyFont="1"/>
    <xf numFmtId="2" fontId="19" fillId="0" borderId="0" xfId="0" applyNumberFormat="1" applyFont="1"/>
    <xf numFmtId="2" fontId="19" fillId="0" borderId="0" xfId="0" applyNumberFormat="1" applyFont="1" applyAlignment="1">
      <alignment horizontal="left"/>
    </xf>
    <xf numFmtId="0" fontId="25" fillId="9" borderId="6" xfId="0" applyFont="1" applyFill="1" applyBorder="1" applyAlignment="1">
      <alignment horizontal="center"/>
    </xf>
    <xf numFmtId="0" fontId="19" fillId="5" borderId="1" xfId="0" applyFont="1" applyFill="1" applyBorder="1" applyProtection="1">
      <protection locked="0"/>
    </xf>
    <xf numFmtId="2" fontId="19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right"/>
    </xf>
    <xf numFmtId="0" fontId="19" fillId="0" borderId="3" xfId="0" applyFont="1" applyBorder="1"/>
    <xf numFmtId="0" fontId="19" fillId="5" borderId="2" xfId="0" applyFont="1" applyFill="1" applyBorder="1" applyProtection="1">
      <protection locked="0"/>
    </xf>
    <xf numFmtId="0" fontId="25" fillId="9" borderId="7" xfId="0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right"/>
    </xf>
    <xf numFmtId="2" fontId="19" fillId="0" borderId="1" xfId="0" applyNumberFormat="1" applyFont="1" applyBorder="1" applyAlignment="1">
      <alignment horizontal="left"/>
    </xf>
    <xf numFmtId="0" fontId="18" fillId="3" borderId="5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 wrapText="1"/>
    </xf>
    <xf numFmtId="0" fontId="18" fillId="3" borderId="8" xfId="0" applyFont="1" applyFill="1" applyBorder="1" applyAlignment="1">
      <alignment horizontal="center"/>
    </xf>
    <xf numFmtId="0" fontId="18" fillId="3" borderId="12" xfId="0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/>
    </xf>
    <xf numFmtId="0" fontId="18" fillId="3" borderId="10" xfId="0" applyFont="1" applyFill="1" applyBorder="1" applyAlignment="1">
      <alignment horizontal="right"/>
    </xf>
    <xf numFmtId="0" fontId="18" fillId="3" borderId="10" xfId="0" applyFont="1" applyFill="1" applyBorder="1"/>
    <xf numFmtId="0" fontId="26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0" fillId="10" borderId="14" xfId="0" applyFill="1" applyBorder="1" applyAlignment="1">
      <alignment horizontal="right"/>
    </xf>
    <xf numFmtId="0" fontId="0" fillId="10" borderId="0" xfId="0" applyFill="1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5" fillId="0" borderId="0" xfId="0" applyFont="1" applyAlignment="1">
      <alignment horizontal="center"/>
    </xf>
    <xf numFmtId="0" fontId="19" fillId="9" borderId="2" xfId="0" applyFont="1" applyFill="1" applyBorder="1" applyAlignment="1" applyProtection="1">
      <alignment horizontal="center"/>
    </xf>
    <xf numFmtId="0" fontId="19" fillId="9" borderId="1" xfId="0" applyFont="1" applyFill="1" applyBorder="1" applyAlignment="1" applyProtection="1">
      <alignment horizontal="center"/>
    </xf>
    <xf numFmtId="0" fontId="19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22" fillId="3" borderId="18" xfId="0" applyFont="1" applyFill="1" applyBorder="1" applyAlignment="1">
      <alignment horizontal="center"/>
    </xf>
    <xf numFmtId="0" fontId="22" fillId="3" borderId="2" xfId="0" applyFont="1" applyFill="1" applyBorder="1" applyAlignment="1">
      <alignment horizontal="center"/>
    </xf>
    <xf numFmtId="0" fontId="22" fillId="3" borderId="19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left"/>
    </xf>
    <xf numFmtId="0" fontId="9" fillId="6" borderId="8" xfId="0" applyFont="1" applyFill="1" applyBorder="1" applyAlignment="1">
      <alignment horizontal="left"/>
    </xf>
    <xf numFmtId="0" fontId="9" fillId="6" borderId="9" xfId="0" applyFont="1" applyFill="1" applyBorder="1" applyAlignment="1">
      <alignment horizontal="left"/>
    </xf>
    <xf numFmtId="0" fontId="9" fillId="6" borderId="5" xfId="0" applyFont="1" applyFill="1" applyBorder="1" applyAlignment="1">
      <alignment horizontal="right"/>
    </xf>
    <xf numFmtId="0" fontId="9" fillId="6" borderId="8" xfId="0" applyFont="1" applyFill="1" applyBorder="1" applyAlignment="1">
      <alignment horizontal="right"/>
    </xf>
    <xf numFmtId="0" fontId="9" fillId="6" borderId="9" xfId="0" applyFont="1" applyFill="1" applyBorder="1" applyAlignment="1">
      <alignment horizontal="right"/>
    </xf>
    <xf numFmtId="0" fontId="8" fillId="6" borderId="0" xfId="0" applyFont="1" applyFill="1" applyAlignment="1">
      <alignment horizontal="right" wrapText="1"/>
    </xf>
    <xf numFmtId="0" fontId="8" fillId="6" borderId="3" xfId="0" applyFont="1" applyFill="1" applyBorder="1" applyAlignment="1">
      <alignment horizontal="right" wrapText="1"/>
    </xf>
  </cellXfs>
  <cellStyles count="1">
    <cellStyle name="Normal" xfId="0" builtinId="0"/>
  </cellStyles>
  <dxfs count="15">
    <dxf>
      <font>
        <color theme="0"/>
      </font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ill>
        <patternFill>
          <fgColor rgb="FFFFFFCC"/>
          <bgColor rgb="FFFFFF99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>
          <bgColor rgb="FF66FF33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UserShapes" Target="../drawings/drawing4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Scatter Plot</a:t>
            </a:r>
          </a:p>
        </c:rich>
      </c:tx>
      <c:layout>
        <c:manualLayout>
          <c:xMode val="edge"/>
          <c:yMode val="edge"/>
          <c:x val="0.41158075985182702"/>
          <c:y val="1.927725921677008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3004032674315372E-2"/>
          <c:y val="3.3104930932269863E-2"/>
          <c:w val="0.90013769608392935"/>
          <c:h val="0.8777469181673313"/>
        </c:manualLayout>
      </c:layout>
      <c:scatterChart>
        <c:scatterStyle val="lineMarker"/>
        <c:varyColors val="0"/>
        <c:ser>
          <c:idx val="0"/>
          <c:order val="0"/>
          <c:tx>
            <c:v>X-Y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trendline>
            <c:trendlineType val="linear"/>
            <c:forward val="10"/>
            <c:backward val="10"/>
            <c:intercept val="0"/>
            <c:dispRSqr val="0"/>
            <c:dispEq val="0"/>
          </c:trendline>
          <c:xVal>
            <c:numRef>
              <c:f>'Method Comparison'!$B$14:$B$33</c:f>
              <c:numCache>
                <c:formatCode>General</c:formatCode>
                <c:ptCount val="20"/>
                <c:pt idx="0">
                  <c:v>2.7</c:v>
                </c:pt>
                <c:pt idx="1">
                  <c:v>7.84</c:v>
                </c:pt>
                <c:pt idx="2">
                  <c:v>7.21</c:v>
                </c:pt>
                <c:pt idx="3">
                  <c:v>7.36</c:v>
                </c:pt>
                <c:pt idx="4">
                  <c:v>7.14</c:v>
                </c:pt>
                <c:pt idx="5">
                  <c:v>6.84</c:v>
                </c:pt>
                <c:pt idx="6">
                  <c:v>3.92</c:v>
                </c:pt>
                <c:pt idx="7">
                  <c:v>9.08</c:v>
                </c:pt>
                <c:pt idx="8">
                  <c:v>5.09</c:v>
                </c:pt>
                <c:pt idx="9">
                  <c:v>5.38</c:v>
                </c:pt>
                <c:pt idx="10">
                  <c:v>8.1</c:v>
                </c:pt>
                <c:pt idx="11">
                  <c:v>7.03</c:v>
                </c:pt>
                <c:pt idx="12">
                  <c:v>6.71</c:v>
                </c:pt>
                <c:pt idx="13">
                  <c:v>6.58</c:v>
                </c:pt>
                <c:pt idx="14">
                  <c:v>6.77</c:v>
                </c:pt>
                <c:pt idx="15">
                  <c:v>8.01</c:v>
                </c:pt>
                <c:pt idx="16">
                  <c:v>4.5999999999999996</c:v>
                </c:pt>
                <c:pt idx="17">
                  <c:v>8.48</c:v>
                </c:pt>
                <c:pt idx="18">
                  <c:v>17.899999999999999</c:v>
                </c:pt>
                <c:pt idx="19">
                  <c:v>16.399999999999999</c:v>
                </c:pt>
              </c:numCache>
            </c:numRef>
          </c:xVal>
          <c:yVal>
            <c:numRef>
              <c:f>'Method Comparison'!$C$14:$C$33</c:f>
              <c:numCache>
                <c:formatCode>General</c:formatCode>
                <c:ptCount val="20"/>
                <c:pt idx="0">
                  <c:v>2.7</c:v>
                </c:pt>
                <c:pt idx="1">
                  <c:v>7.24</c:v>
                </c:pt>
                <c:pt idx="2">
                  <c:v>7.57</c:v>
                </c:pt>
                <c:pt idx="3">
                  <c:v>7.13</c:v>
                </c:pt>
                <c:pt idx="4">
                  <c:v>7.41</c:v>
                </c:pt>
                <c:pt idx="5">
                  <c:v>6.79</c:v>
                </c:pt>
                <c:pt idx="6">
                  <c:v>4.13</c:v>
                </c:pt>
                <c:pt idx="7">
                  <c:v>9.52</c:v>
                </c:pt>
                <c:pt idx="8">
                  <c:v>5.27</c:v>
                </c:pt>
                <c:pt idx="9">
                  <c:v>5.16</c:v>
                </c:pt>
                <c:pt idx="10">
                  <c:v>8.3000000000000007</c:v>
                </c:pt>
                <c:pt idx="11">
                  <c:v>6.87</c:v>
                </c:pt>
                <c:pt idx="12">
                  <c:v>6.35</c:v>
                </c:pt>
                <c:pt idx="13">
                  <c:v>6.43</c:v>
                </c:pt>
                <c:pt idx="14">
                  <c:v>6.51</c:v>
                </c:pt>
                <c:pt idx="15">
                  <c:v>7.88</c:v>
                </c:pt>
                <c:pt idx="16">
                  <c:v>4.59</c:v>
                </c:pt>
                <c:pt idx="17">
                  <c:v>8.42</c:v>
                </c:pt>
                <c:pt idx="18">
                  <c:v>18.07</c:v>
                </c:pt>
                <c:pt idx="19">
                  <c:v>18.100000000000001</c:v>
                </c:pt>
              </c:numCache>
            </c:numRef>
          </c:yVal>
          <c:smooth val="0"/>
        </c:ser>
        <c:ser>
          <c:idx val="1"/>
          <c:order val="1"/>
          <c:tx>
            <c:v>1:1</c:v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trendline>
            <c:spPr>
              <a:ln>
                <a:solidFill>
                  <a:schemeClr val="accent1">
                    <a:lumMod val="60000"/>
                    <a:lumOff val="40000"/>
                  </a:schemeClr>
                </a:solidFill>
                <a:prstDash val="sysDot"/>
              </a:ln>
            </c:spPr>
            <c:trendlineType val="linear"/>
            <c:forward val="10"/>
            <c:backward val="10"/>
            <c:intercept val="0"/>
            <c:dispRSqr val="0"/>
            <c:dispEq val="0"/>
          </c:trendline>
          <c:xVal>
            <c:numRef>
              <c:f>'Method Comparison'!$B$14:$B$33</c:f>
              <c:numCache>
                <c:formatCode>General</c:formatCode>
                <c:ptCount val="20"/>
                <c:pt idx="0">
                  <c:v>2.7</c:v>
                </c:pt>
                <c:pt idx="1">
                  <c:v>7.84</c:v>
                </c:pt>
                <c:pt idx="2">
                  <c:v>7.21</c:v>
                </c:pt>
                <c:pt idx="3">
                  <c:v>7.36</c:v>
                </c:pt>
                <c:pt idx="4">
                  <c:v>7.14</c:v>
                </c:pt>
                <c:pt idx="5">
                  <c:v>6.84</c:v>
                </c:pt>
                <c:pt idx="6">
                  <c:v>3.92</c:v>
                </c:pt>
                <c:pt idx="7">
                  <c:v>9.08</c:v>
                </c:pt>
                <c:pt idx="8">
                  <c:v>5.09</c:v>
                </c:pt>
                <c:pt idx="9">
                  <c:v>5.38</c:v>
                </c:pt>
                <c:pt idx="10">
                  <c:v>8.1</c:v>
                </c:pt>
                <c:pt idx="11">
                  <c:v>7.03</c:v>
                </c:pt>
                <c:pt idx="12">
                  <c:v>6.71</c:v>
                </c:pt>
                <c:pt idx="13">
                  <c:v>6.58</c:v>
                </c:pt>
                <c:pt idx="14">
                  <c:v>6.77</c:v>
                </c:pt>
                <c:pt idx="15">
                  <c:v>8.01</c:v>
                </c:pt>
                <c:pt idx="16">
                  <c:v>4.5999999999999996</c:v>
                </c:pt>
                <c:pt idx="17">
                  <c:v>8.48</c:v>
                </c:pt>
                <c:pt idx="18">
                  <c:v>17.899999999999999</c:v>
                </c:pt>
                <c:pt idx="19">
                  <c:v>16.399999999999999</c:v>
                </c:pt>
              </c:numCache>
            </c:numRef>
          </c:xVal>
          <c:yVal>
            <c:numRef>
              <c:f>'Method Comparison'!$B$14:$B$33</c:f>
              <c:numCache>
                <c:formatCode>General</c:formatCode>
                <c:ptCount val="20"/>
                <c:pt idx="0">
                  <c:v>2.7</c:v>
                </c:pt>
                <c:pt idx="1">
                  <c:v>7.84</c:v>
                </c:pt>
                <c:pt idx="2">
                  <c:v>7.21</c:v>
                </c:pt>
                <c:pt idx="3">
                  <c:v>7.36</c:v>
                </c:pt>
                <c:pt idx="4">
                  <c:v>7.14</c:v>
                </c:pt>
                <c:pt idx="5">
                  <c:v>6.84</c:v>
                </c:pt>
                <c:pt idx="6">
                  <c:v>3.92</c:v>
                </c:pt>
                <c:pt idx="7">
                  <c:v>9.08</c:v>
                </c:pt>
                <c:pt idx="8">
                  <c:v>5.09</c:v>
                </c:pt>
                <c:pt idx="9">
                  <c:v>5.38</c:v>
                </c:pt>
                <c:pt idx="10">
                  <c:v>8.1</c:v>
                </c:pt>
                <c:pt idx="11">
                  <c:v>7.03</c:v>
                </c:pt>
                <c:pt idx="12">
                  <c:v>6.71</c:v>
                </c:pt>
                <c:pt idx="13">
                  <c:v>6.58</c:v>
                </c:pt>
                <c:pt idx="14">
                  <c:v>6.77</c:v>
                </c:pt>
                <c:pt idx="15">
                  <c:v>8.01</c:v>
                </c:pt>
                <c:pt idx="16">
                  <c:v>4.5999999999999996</c:v>
                </c:pt>
                <c:pt idx="17">
                  <c:v>8.48</c:v>
                </c:pt>
                <c:pt idx="18">
                  <c:v>17.899999999999999</c:v>
                </c:pt>
                <c:pt idx="19">
                  <c:v>16.399999999999999</c:v>
                </c:pt>
              </c:numCache>
            </c:numRef>
          </c:yVal>
          <c:smooth val="0"/>
        </c:ser>
        <c:ser>
          <c:idx val="3"/>
          <c:order val="2"/>
          <c:tx>
            <c:v>Allowable Error</c:v>
          </c:tx>
          <c:spPr>
            <a:ln w="28575">
              <a:solidFill>
                <a:srgbClr val="FF0000"/>
              </a:solidFill>
              <a:prstDash val="sysDot"/>
            </a:ln>
          </c:spPr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sysDot"/>
              </a:ln>
            </c:spPr>
            <c:trendlineType val="linear"/>
            <c:forward val="10"/>
            <c:backward val="10"/>
            <c:intercept val="0"/>
            <c:dispRSqr val="0"/>
            <c:dispEq val="0"/>
          </c:trendline>
          <c:xVal>
            <c:numRef>
              <c:f>'Method Comparison'!$B$14:$B$33</c:f>
              <c:numCache>
                <c:formatCode>General</c:formatCode>
                <c:ptCount val="20"/>
                <c:pt idx="0">
                  <c:v>2.7</c:v>
                </c:pt>
                <c:pt idx="1">
                  <c:v>7.84</c:v>
                </c:pt>
                <c:pt idx="2">
                  <c:v>7.21</c:v>
                </c:pt>
                <c:pt idx="3">
                  <c:v>7.36</c:v>
                </c:pt>
                <c:pt idx="4">
                  <c:v>7.14</c:v>
                </c:pt>
                <c:pt idx="5">
                  <c:v>6.84</c:v>
                </c:pt>
                <c:pt idx="6">
                  <c:v>3.92</c:v>
                </c:pt>
                <c:pt idx="7">
                  <c:v>9.08</c:v>
                </c:pt>
                <c:pt idx="8">
                  <c:v>5.09</c:v>
                </c:pt>
                <c:pt idx="9">
                  <c:v>5.38</c:v>
                </c:pt>
                <c:pt idx="10">
                  <c:v>8.1</c:v>
                </c:pt>
                <c:pt idx="11">
                  <c:v>7.03</c:v>
                </c:pt>
                <c:pt idx="12">
                  <c:v>6.71</c:v>
                </c:pt>
                <c:pt idx="13">
                  <c:v>6.58</c:v>
                </c:pt>
                <c:pt idx="14">
                  <c:v>6.77</c:v>
                </c:pt>
                <c:pt idx="15">
                  <c:v>8.01</c:v>
                </c:pt>
                <c:pt idx="16">
                  <c:v>4.5999999999999996</c:v>
                </c:pt>
                <c:pt idx="17">
                  <c:v>8.48</c:v>
                </c:pt>
                <c:pt idx="18">
                  <c:v>17.899999999999999</c:v>
                </c:pt>
                <c:pt idx="19">
                  <c:v>16.399999999999999</c:v>
                </c:pt>
              </c:numCache>
            </c:numRef>
          </c:xVal>
          <c:yVal>
            <c:numRef>
              <c:f>'Method Comparison'!$F$14:$F$33</c:f>
              <c:numCache>
                <c:formatCode>General</c:formatCode>
                <c:ptCount val="20"/>
                <c:pt idx="0">
                  <c:v>2.9700000000000006</c:v>
                </c:pt>
                <c:pt idx="1">
                  <c:v>8.6240000000000006</c:v>
                </c:pt>
                <c:pt idx="2">
                  <c:v>7.9310000000000009</c:v>
                </c:pt>
                <c:pt idx="3">
                  <c:v>8.0960000000000019</c:v>
                </c:pt>
                <c:pt idx="4">
                  <c:v>7.8540000000000001</c:v>
                </c:pt>
                <c:pt idx="5">
                  <c:v>7.524</c:v>
                </c:pt>
                <c:pt idx="6">
                  <c:v>4.3120000000000003</c:v>
                </c:pt>
                <c:pt idx="7">
                  <c:v>9.9880000000000013</c:v>
                </c:pt>
                <c:pt idx="8">
                  <c:v>5.5990000000000002</c:v>
                </c:pt>
                <c:pt idx="9">
                  <c:v>5.9180000000000001</c:v>
                </c:pt>
                <c:pt idx="10">
                  <c:v>8.91</c:v>
                </c:pt>
                <c:pt idx="11">
                  <c:v>7.7330000000000005</c:v>
                </c:pt>
                <c:pt idx="12">
                  <c:v>7.3810000000000002</c:v>
                </c:pt>
                <c:pt idx="13">
                  <c:v>7.2380000000000004</c:v>
                </c:pt>
                <c:pt idx="14">
                  <c:v>7.4470000000000001</c:v>
                </c:pt>
                <c:pt idx="15">
                  <c:v>8.8109999999999999</c:v>
                </c:pt>
                <c:pt idx="16">
                  <c:v>5.0599999999999996</c:v>
                </c:pt>
                <c:pt idx="17">
                  <c:v>9.3280000000000012</c:v>
                </c:pt>
                <c:pt idx="18">
                  <c:v>19.690000000000001</c:v>
                </c:pt>
                <c:pt idx="19">
                  <c:v>18.04</c:v>
                </c:pt>
              </c:numCache>
            </c:numRef>
          </c:yVal>
          <c:smooth val="0"/>
        </c:ser>
        <c:ser>
          <c:idx val="4"/>
          <c:order val="3"/>
          <c:tx>
            <c:v>Allowable Error</c:v>
          </c:tx>
          <c:spPr>
            <a:ln w="28575">
              <a:solidFill>
                <a:srgbClr val="FF0000"/>
              </a:solidFill>
              <a:prstDash val="sysDot"/>
            </a:ln>
          </c:spPr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sysDot"/>
              </a:ln>
            </c:spPr>
            <c:trendlineType val="linear"/>
            <c:forward val="10"/>
            <c:backward val="10"/>
            <c:dispRSqr val="0"/>
            <c:dispEq val="0"/>
          </c:trendline>
          <c:xVal>
            <c:numRef>
              <c:f>'Method Comparison'!$B$14:$B$33</c:f>
              <c:numCache>
                <c:formatCode>General</c:formatCode>
                <c:ptCount val="20"/>
                <c:pt idx="0">
                  <c:v>2.7</c:v>
                </c:pt>
                <c:pt idx="1">
                  <c:v>7.84</c:v>
                </c:pt>
                <c:pt idx="2">
                  <c:v>7.21</c:v>
                </c:pt>
                <c:pt idx="3">
                  <c:v>7.36</c:v>
                </c:pt>
                <c:pt idx="4">
                  <c:v>7.14</c:v>
                </c:pt>
                <c:pt idx="5">
                  <c:v>6.84</c:v>
                </c:pt>
                <c:pt idx="6">
                  <c:v>3.92</c:v>
                </c:pt>
                <c:pt idx="7">
                  <c:v>9.08</c:v>
                </c:pt>
                <c:pt idx="8">
                  <c:v>5.09</c:v>
                </c:pt>
                <c:pt idx="9">
                  <c:v>5.38</c:v>
                </c:pt>
                <c:pt idx="10">
                  <c:v>8.1</c:v>
                </c:pt>
                <c:pt idx="11">
                  <c:v>7.03</c:v>
                </c:pt>
                <c:pt idx="12">
                  <c:v>6.71</c:v>
                </c:pt>
                <c:pt idx="13">
                  <c:v>6.58</c:v>
                </c:pt>
                <c:pt idx="14">
                  <c:v>6.77</c:v>
                </c:pt>
                <c:pt idx="15">
                  <c:v>8.01</c:v>
                </c:pt>
                <c:pt idx="16">
                  <c:v>4.5999999999999996</c:v>
                </c:pt>
                <c:pt idx="17">
                  <c:v>8.48</c:v>
                </c:pt>
                <c:pt idx="18">
                  <c:v>17.899999999999999</c:v>
                </c:pt>
                <c:pt idx="19">
                  <c:v>16.399999999999999</c:v>
                </c:pt>
              </c:numCache>
            </c:numRef>
          </c:xVal>
          <c:yVal>
            <c:numRef>
              <c:f>'Method Comparison'!$G$14:$G$33</c:f>
              <c:numCache>
                <c:formatCode>General</c:formatCode>
                <c:ptCount val="20"/>
                <c:pt idx="0">
                  <c:v>2.4300000000000002</c:v>
                </c:pt>
                <c:pt idx="1">
                  <c:v>7.056</c:v>
                </c:pt>
                <c:pt idx="2">
                  <c:v>6.4889999999999999</c:v>
                </c:pt>
                <c:pt idx="3">
                  <c:v>6.6240000000000006</c:v>
                </c:pt>
                <c:pt idx="4">
                  <c:v>6.4260000000000002</c:v>
                </c:pt>
                <c:pt idx="5">
                  <c:v>6.1559999999999997</c:v>
                </c:pt>
                <c:pt idx="6">
                  <c:v>3.528</c:v>
                </c:pt>
                <c:pt idx="7">
                  <c:v>8.1720000000000006</c:v>
                </c:pt>
                <c:pt idx="8">
                  <c:v>4.5810000000000004</c:v>
                </c:pt>
                <c:pt idx="9">
                  <c:v>4.8419999999999996</c:v>
                </c:pt>
                <c:pt idx="10">
                  <c:v>7.29</c:v>
                </c:pt>
                <c:pt idx="11">
                  <c:v>6.327</c:v>
                </c:pt>
                <c:pt idx="12">
                  <c:v>6.0389999999999997</c:v>
                </c:pt>
                <c:pt idx="13">
                  <c:v>5.9220000000000006</c:v>
                </c:pt>
                <c:pt idx="14">
                  <c:v>6.093</c:v>
                </c:pt>
                <c:pt idx="15">
                  <c:v>7.2089999999999996</c:v>
                </c:pt>
                <c:pt idx="16">
                  <c:v>4.1399999999999997</c:v>
                </c:pt>
                <c:pt idx="17">
                  <c:v>7.6320000000000006</c:v>
                </c:pt>
                <c:pt idx="18">
                  <c:v>16.11</c:v>
                </c:pt>
                <c:pt idx="19">
                  <c:v>14.76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4408448"/>
        <c:axId val="264431104"/>
      </c:scatterChart>
      <c:valAx>
        <c:axId val="264408448"/>
        <c:scaling>
          <c:orientation val="minMax"/>
        </c:scaling>
        <c:delete val="0"/>
        <c:axPos val="b"/>
        <c:title>
          <c:tx>
            <c:strRef>
              <c:f>'Method Comparison'!$E$7:$I$7</c:f>
              <c:strCache>
                <c:ptCount val="1"/>
                <c:pt idx="0">
                  <c:v>Roche - LabCorp</c:v>
                </c:pt>
              </c:strCache>
            </c:strRef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4431104"/>
        <c:crosses val="autoZero"/>
        <c:crossBetween val="midCat"/>
      </c:valAx>
      <c:valAx>
        <c:axId val="2644311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strRef>
              <c:f>'Method Comparison'!$E$6:$I$6</c:f>
              <c:strCache>
                <c:ptCount val="1"/>
                <c:pt idx="0">
                  <c:v>Roche e-411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64408448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28310790938366748"/>
          <c:y val="9.5992334567450599E-2"/>
          <c:w val="0.23039258390573514"/>
          <c:h val="0.25000026072899828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Error Index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7594888962233011E-2"/>
          <c:y val="0.12706637058968664"/>
          <c:w val="0.88605780564854542"/>
          <c:h val="0.8225359040634909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/>
            </a:solidFill>
          </c:spPr>
          <c:invertIfNegative val="0"/>
          <c:val>
            <c:numRef>
              <c:f>'Method Comparison'!$E$14:$E$33</c:f>
              <c:numCache>
                <c:formatCode>0.00</c:formatCode>
                <c:ptCount val="20"/>
                <c:pt idx="0">
                  <c:v>0</c:v>
                </c:pt>
                <c:pt idx="1">
                  <c:v>-0.76530612244897911</c:v>
                </c:pt>
                <c:pt idx="2">
                  <c:v>0.49930651872399484</c:v>
                </c:pt>
                <c:pt idx="3">
                  <c:v>-0.31250000000000056</c:v>
                </c:pt>
                <c:pt idx="4">
                  <c:v>0.37815126050420234</c:v>
                </c:pt>
                <c:pt idx="5">
                  <c:v>-7.3099415204678095E-2</c:v>
                </c:pt>
                <c:pt idx="6">
                  <c:v>0.53571428571428559</c:v>
                </c:pt>
                <c:pt idx="7">
                  <c:v>0.48458149779735626</c:v>
                </c:pt>
                <c:pt idx="8">
                  <c:v>0.35363457760314287</c:v>
                </c:pt>
                <c:pt idx="9">
                  <c:v>-0.40892193308550134</c:v>
                </c:pt>
                <c:pt idx="10">
                  <c:v>0.24691358024691487</c:v>
                </c:pt>
                <c:pt idx="11">
                  <c:v>-0.22759601706970145</c:v>
                </c:pt>
                <c:pt idx="12">
                  <c:v>-0.53651266766020911</c:v>
                </c:pt>
                <c:pt idx="13">
                  <c:v>-0.22796352583586679</c:v>
                </c:pt>
                <c:pt idx="14">
                  <c:v>-0.38404726735598194</c:v>
                </c:pt>
                <c:pt idx="15">
                  <c:v>-0.16229712858926329</c:v>
                </c:pt>
                <c:pt idx="16">
                  <c:v>-2.1739130434782147E-2</c:v>
                </c:pt>
                <c:pt idx="17">
                  <c:v>-7.0754716981132657E-2</c:v>
                </c:pt>
                <c:pt idx="18">
                  <c:v>9.49720670391071E-2</c:v>
                </c:pt>
                <c:pt idx="19">
                  <c:v>1.0365853658536603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187264"/>
        <c:axId val="264213632"/>
      </c:barChart>
      <c:catAx>
        <c:axId val="26418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4213632"/>
        <c:crossesAt val="0"/>
        <c:auto val="1"/>
        <c:lblAlgn val="ctr"/>
        <c:lblOffset val="100"/>
        <c:noMultiLvlLbl val="0"/>
      </c:catAx>
      <c:valAx>
        <c:axId val="264213632"/>
        <c:scaling>
          <c:orientation val="minMax"/>
          <c:max val="2"/>
          <c:min val="-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64187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Scatter Plot</a:t>
            </a:r>
          </a:p>
        </c:rich>
      </c:tx>
      <c:layout>
        <c:manualLayout>
          <c:xMode val="edge"/>
          <c:yMode val="edge"/>
          <c:x val="0.3973684279481704"/>
          <c:y val="3.54610418223269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32791803686768"/>
          <c:y val="5.2148207751403337E-2"/>
          <c:w val="0.7868421052631579"/>
          <c:h val="0.76123154818413652"/>
        </c:manualLayout>
      </c:layout>
      <c:scatterChart>
        <c:scatterStyle val="lineMarker"/>
        <c:varyColors val="0"/>
        <c:ser>
          <c:idx val="0"/>
          <c:order val="0"/>
          <c:tx>
            <c:v>X-Y</c:v>
          </c:tx>
          <c:spPr>
            <a:ln w="15875"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noFill/>
              </a:ln>
            </c:spPr>
          </c:marker>
          <c:trendline>
            <c:trendlineType val="linear"/>
            <c:dispRSqr val="0"/>
            <c:dispEq val="0"/>
          </c:trendline>
          <c:xVal>
            <c:numRef>
              <c:f>'Alt Method Comparison'!$B$11:$B$30</c:f>
              <c:numCache>
                <c:formatCode>General</c:formatCode>
                <c:ptCount val="20"/>
                <c:pt idx="0">
                  <c:v>2.7</c:v>
                </c:pt>
                <c:pt idx="1">
                  <c:v>7.84</c:v>
                </c:pt>
                <c:pt idx="2">
                  <c:v>7.21</c:v>
                </c:pt>
                <c:pt idx="3">
                  <c:v>7.36</c:v>
                </c:pt>
                <c:pt idx="4">
                  <c:v>7.14</c:v>
                </c:pt>
                <c:pt idx="5">
                  <c:v>6.84</c:v>
                </c:pt>
                <c:pt idx="6">
                  <c:v>3.92</c:v>
                </c:pt>
                <c:pt idx="7">
                  <c:v>9.08</c:v>
                </c:pt>
                <c:pt idx="8">
                  <c:v>5.09</c:v>
                </c:pt>
                <c:pt idx="9">
                  <c:v>5.38</c:v>
                </c:pt>
                <c:pt idx="10">
                  <c:v>8.1</c:v>
                </c:pt>
                <c:pt idx="11">
                  <c:v>7.03</c:v>
                </c:pt>
                <c:pt idx="12">
                  <c:v>6.71</c:v>
                </c:pt>
                <c:pt idx="13">
                  <c:v>6.58</c:v>
                </c:pt>
                <c:pt idx="14">
                  <c:v>6.77</c:v>
                </c:pt>
                <c:pt idx="15">
                  <c:v>8.01</c:v>
                </c:pt>
                <c:pt idx="16">
                  <c:v>4.5999999999999996</c:v>
                </c:pt>
                <c:pt idx="17">
                  <c:v>8.48</c:v>
                </c:pt>
                <c:pt idx="18">
                  <c:v>17.899999999999999</c:v>
                </c:pt>
                <c:pt idx="19">
                  <c:v>16.399999999999999</c:v>
                </c:pt>
              </c:numCache>
            </c:numRef>
          </c:xVal>
          <c:yVal>
            <c:numRef>
              <c:f>'Alt Method Comparison'!$C$11:$C$30</c:f>
              <c:numCache>
                <c:formatCode>General</c:formatCode>
                <c:ptCount val="20"/>
                <c:pt idx="0">
                  <c:v>2.7</c:v>
                </c:pt>
                <c:pt idx="1">
                  <c:v>7.24</c:v>
                </c:pt>
                <c:pt idx="2">
                  <c:v>7.57</c:v>
                </c:pt>
                <c:pt idx="3">
                  <c:v>7.13</c:v>
                </c:pt>
                <c:pt idx="4">
                  <c:v>7.41</c:v>
                </c:pt>
                <c:pt idx="5">
                  <c:v>6.79</c:v>
                </c:pt>
                <c:pt idx="6">
                  <c:v>4.13</c:v>
                </c:pt>
                <c:pt idx="7">
                  <c:v>9.52</c:v>
                </c:pt>
                <c:pt idx="8">
                  <c:v>5.27</c:v>
                </c:pt>
                <c:pt idx="9">
                  <c:v>5.16</c:v>
                </c:pt>
                <c:pt idx="10">
                  <c:v>8.3000000000000007</c:v>
                </c:pt>
                <c:pt idx="11">
                  <c:v>6.87</c:v>
                </c:pt>
                <c:pt idx="12">
                  <c:v>6.35</c:v>
                </c:pt>
                <c:pt idx="13">
                  <c:v>6.43</c:v>
                </c:pt>
                <c:pt idx="14">
                  <c:v>6.51</c:v>
                </c:pt>
                <c:pt idx="15">
                  <c:v>7.88</c:v>
                </c:pt>
                <c:pt idx="16">
                  <c:v>4.59</c:v>
                </c:pt>
                <c:pt idx="17">
                  <c:v>8.42</c:v>
                </c:pt>
                <c:pt idx="18">
                  <c:v>18.07</c:v>
                </c:pt>
                <c:pt idx="19">
                  <c:v>18.100000000000001</c:v>
                </c:pt>
              </c:numCache>
            </c:numRef>
          </c:yVal>
          <c:smooth val="0"/>
        </c:ser>
        <c:ser>
          <c:idx val="1"/>
          <c:order val="1"/>
          <c:tx>
            <c:v>1:1 Line</c:v>
          </c:tx>
          <c:spPr>
            <a:ln w="28575">
              <a:solidFill>
                <a:srgbClr val="4F81BD">
                  <a:alpha val="50000"/>
                </a:srgbClr>
              </a:solidFill>
            </a:ln>
          </c:spPr>
          <c:marker>
            <c:symbol val="none"/>
          </c:marker>
          <c:xVal>
            <c:numRef>
              <c:f>'Alt Method Comparison'!$B$11:$B$30</c:f>
              <c:numCache>
                <c:formatCode>General</c:formatCode>
                <c:ptCount val="20"/>
                <c:pt idx="0">
                  <c:v>2.7</c:v>
                </c:pt>
                <c:pt idx="1">
                  <c:v>7.84</c:v>
                </c:pt>
                <c:pt idx="2">
                  <c:v>7.21</c:v>
                </c:pt>
                <c:pt idx="3">
                  <c:v>7.36</c:v>
                </c:pt>
                <c:pt idx="4">
                  <c:v>7.14</c:v>
                </c:pt>
                <c:pt idx="5">
                  <c:v>6.84</c:v>
                </c:pt>
                <c:pt idx="6">
                  <c:v>3.92</c:v>
                </c:pt>
                <c:pt idx="7">
                  <c:v>9.08</c:v>
                </c:pt>
                <c:pt idx="8">
                  <c:v>5.09</c:v>
                </c:pt>
                <c:pt idx="9">
                  <c:v>5.38</c:v>
                </c:pt>
                <c:pt idx="10">
                  <c:v>8.1</c:v>
                </c:pt>
                <c:pt idx="11">
                  <c:v>7.03</c:v>
                </c:pt>
                <c:pt idx="12">
                  <c:v>6.71</c:v>
                </c:pt>
                <c:pt idx="13">
                  <c:v>6.58</c:v>
                </c:pt>
                <c:pt idx="14">
                  <c:v>6.77</c:v>
                </c:pt>
                <c:pt idx="15">
                  <c:v>8.01</c:v>
                </c:pt>
                <c:pt idx="16">
                  <c:v>4.5999999999999996</c:v>
                </c:pt>
                <c:pt idx="17">
                  <c:v>8.48</c:v>
                </c:pt>
                <c:pt idx="18">
                  <c:v>17.899999999999999</c:v>
                </c:pt>
                <c:pt idx="19">
                  <c:v>16.399999999999999</c:v>
                </c:pt>
              </c:numCache>
            </c:numRef>
          </c:xVal>
          <c:yVal>
            <c:numRef>
              <c:f>'Alt Method Comparison'!$B$11:$B$30</c:f>
              <c:numCache>
                <c:formatCode>General</c:formatCode>
                <c:ptCount val="20"/>
                <c:pt idx="0">
                  <c:v>2.7</c:v>
                </c:pt>
                <c:pt idx="1">
                  <c:v>7.84</c:v>
                </c:pt>
                <c:pt idx="2">
                  <c:v>7.21</c:v>
                </c:pt>
                <c:pt idx="3">
                  <c:v>7.36</c:v>
                </c:pt>
                <c:pt idx="4">
                  <c:v>7.14</c:v>
                </c:pt>
                <c:pt idx="5">
                  <c:v>6.84</c:v>
                </c:pt>
                <c:pt idx="6">
                  <c:v>3.92</c:v>
                </c:pt>
                <c:pt idx="7">
                  <c:v>9.08</c:v>
                </c:pt>
                <c:pt idx="8">
                  <c:v>5.09</c:v>
                </c:pt>
                <c:pt idx="9">
                  <c:v>5.38</c:v>
                </c:pt>
                <c:pt idx="10">
                  <c:v>8.1</c:v>
                </c:pt>
                <c:pt idx="11">
                  <c:v>7.03</c:v>
                </c:pt>
                <c:pt idx="12">
                  <c:v>6.71</c:v>
                </c:pt>
                <c:pt idx="13">
                  <c:v>6.58</c:v>
                </c:pt>
                <c:pt idx="14">
                  <c:v>6.77</c:v>
                </c:pt>
                <c:pt idx="15">
                  <c:v>8.01</c:v>
                </c:pt>
                <c:pt idx="16">
                  <c:v>4.5999999999999996</c:v>
                </c:pt>
                <c:pt idx="17">
                  <c:v>8.48</c:v>
                </c:pt>
                <c:pt idx="18">
                  <c:v>17.899999999999999</c:v>
                </c:pt>
                <c:pt idx="19">
                  <c:v>16.399999999999999</c:v>
                </c:pt>
              </c:numCache>
            </c:numRef>
          </c:yVal>
          <c:smooth val="0"/>
        </c:ser>
        <c:ser>
          <c:idx val="2"/>
          <c:order val="2"/>
          <c:tx>
            <c:v>extend</c:v>
          </c:tx>
          <c:spPr>
            <a:ln w="28575">
              <a:solidFill>
                <a:srgbClr val="4F81BD">
                  <a:alpha val="50000"/>
                </a:srgbClr>
              </a:solidFill>
            </a:ln>
          </c:spPr>
          <c:marker>
            <c:symbol val="none"/>
          </c:marker>
          <c:xVal>
            <c:numRef>
              <c:f>'Alt Method Comparison'!$F$11:$F$12</c:f>
              <c:numCache>
                <c:formatCode>General</c:formatCode>
                <c:ptCount val="2"/>
                <c:pt idx="0">
                  <c:v>2.2236842105261603E-4</c:v>
                </c:pt>
                <c:pt idx="1">
                  <c:v>2.3274999999999813E-2</c:v>
                </c:pt>
              </c:numCache>
            </c:numRef>
          </c:xVal>
          <c:yVal>
            <c:numRef>
              <c:f>'Alt Method Comparison'!$F$11:$F$12</c:f>
              <c:numCache>
                <c:formatCode>General</c:formatCode>
                <c:ptCount val="2"/>
                <c:pt idx="0">
                  <c:v>2.2236842105261603E-4</c:v>
                </c:pt>
                <c:pt idx="1">
                  <c:v>2.3274999999999813E-2</c:v>
                </c:pt>
              </c:numCache>
            </c:numRef>
          </c:yVal>
          <c:smooth val="0"/>
        </c:ser>
        <c:ser>
          <c:idx val="4"/>
          <c:order val="3"/>
          <c:tx>
            <c:v>Allowable Error</c:v>
          </c:tx>
          <c:spPr>
            <a:ln>
              <a:solidFill>
                <a:srgbClr val="FF0000">
                  <a:alpha val="50000"/>
                </a:srgbClr>
              </a:solidFill>
              <a:prstDash val="sysDot"/>
            </a:ln>
          </c:spPr>
          <c:marker>
            <c:symbol val="none"/>
          </c:marker>
          <c:xVal>
            <c:numRef>
              <c:f>'Alt Method Comparison'!$B$11:$B$30</c:f>
              <c:numCache>
                <c:formatCode>General</c:formatCode>
                <c:ptCount val="20"/>
                <c:pt idx="0">
                  <c:v>2.7</c:v>
                </c:pt>
                <c:pt idx="1">
                  <c:v>7.84</c:v>
                </c:pt>
                <c:pt idx="2">
                  <c:v>7.21</c:v>
                </c:pt>
                <c:pt idx="3">
                  <c:v>7.36</c:v>
                </c:pt>
                <c:pt idx="4">
                  <c:v>7.14</c:v>
                </c:pt>
                <c:pt idx="5">
                  <c:v>6.84</c:v>
                </c:pt>
                <c:pt idx="6">
                  <c:v>3.92</c:v>
                </c:pt>
                <c:pt idx="7">
                  <c:v>9.08</c:v>
                </c:pt>
                <c:pt idx="8">
                  <c:v>5.09</c:v>
                </c:pt>
                <c:pt idx="9">
                  <c:v>5.38</c:v>
                </c:pt>
                <c:pt idx="10">
                  <c:v>8.1</c:v>
                </c:pt>
                <c:pt idx="11">
                  <c:v>7.03</c:v>
                </c:pt>
                <c:pt idx="12">
                  <c:v>6.71</c:v>
                </c:pt>
                <c:pt idx="13">
                  <c:v>6.58</c:v>
                </c:pt>
                <c:pt idx="14">
                  <c:v>6.77</c:v>
                </c:pt>
                <c:pt idx="15">
                  <c:v>8.01</c:v>
                </c:pt>
                <c:pt idx="16">
                  <c:v>4.5999999999999996</c:v>
                </c:pt>
                <c:pt idx="17">
                  <c:v>8.48</c:v>
                </c:pt>
                <c:pt idx="18">
                  <c:v>17.899999999999999</c:v>
                </c:pt>
                <c:pt idx="19">
                  <c:v>16.399999999999999</c:v>
                </c:pt>
              </c:numCache>
            </c:numRef>
          </c:xVal>
          <c:yVal>
            <c:numRef>
              <c:f>'Alt Method Comparison'!$B$39:$B$59</c:f>
              <c:numCache>
                <c:formatCode>General</c:formatCode>
                <c:ptCount val="21"/>
                <c:pt idx="0">
                  <c:v>2.97</c:v>
                </c:pt>
                <c:pt idx="1">
                  <c:v>8.6240000000000006</c:v>
                </c:pt>
                <c:pt idx="2">
                  <c:v>7.931</c:v>
                </c:pt>
                <c:pt idx="3">
                  <c:v>8.0960000000000001</c:v>
                </c:pt>
                <c:pt idx="4">
                  <c:v>7.8539999999999992</c:v>
                </c:pt>
                <c:pt idx="5">
                  <c:v>7.524</c:v>
                </c:pt>
                <c:pt idx="6">
                  <c:v>4.3120000000000003</c:v>
                </c:pt>
                <c:pt idx="7">
                  <c:v>9.9879999999999995</c:v>
                </c:pt>
                <c:pt idx="8">
                  <c:v>5.5990000000000002</c:v>
                </c:pt>
                <c:pt idx="9">
                  <c:v>5.9180000000000001</c:v>
                </c:pt>
                <c:pt idx="10">
                  <c:v>8.91</c:v>
                </c:pt>
                <c:pt idx="11">
                  <c:v>7.7330000000000005</c:v>
                </c:pt>
                <c:pt idx="12">
                  <c:v>7.3810000000000002</c:v>
                </c:pt>
                <c:pt idx="13">
                  <c:v>7.2380000000000004</c:v>
                </c:pt>
                <c:pt idx="14">
                  <c:v>7.4469999999999992</c:v>
                </c:pt>
                <c:pt idx="15">
                  <c:v>8.8109999999999999</c:v>
                </c:pt>
                <c:pt idx="16">
                  <c:v>5.0599999999999996</c:v>
                </c:pt>
                <c:pt idx="17">
                  <c:v>9.3280000000000012</c:v>
                </c:pt>
                <c:pt idx="18">
                  <c:v>19.689999999999998</c:v>
                </c:pt>
                <c:pt idx="19">
                  <c:v>18.04</c:v>
                </c:pt>
              </c:numCache>
            </c:numRef>
          </c:yVal>
          <c:smooth val="0"/>
        </c:ser>
        <c:ser>
          <c:idx val="5"/>
          <c:order val="4"/>
          <c:tx>
            <c:v>Low bounds</c:v>
          </c:tx>
          <c:spPr>
            <a:ln>
              <a:solidFill>
                <a:srgbClr val="FF0000">
                  <a:alpha val="50000"/>
                </a:srgbClr>
              </a:solidFill>
              <a:prstDash val="sysDot"/>
            </a:ln>
          </c:spPr>
          <c:marker>
            <c:symbol val="none"/>
          </c:marker>
          <c:xVal>
            <c:numRef>
              <c:f>'Alt Method Comparison'!$B$11:$B$30</c:f>
              <c:numCache>
                <c:formatCode>General</c:formatCode>
                <c:ptCount val="20"/>
                <c:pt idx="0">
                  <c:v>2.7</c:v>
                </c:pt>
                <c:pt idx="1">
                  <c:v>7.84</c:v>
                </c:pt>
                <c:pt idx="2">
                  <c:v>7.21</c:v>
                </c:pt>
                <c:pt idx="3">
                  <c:v>7.36</c:v>
                </c:pt>
                <c:pt idx="4">
                  <c:v>7.14</c:v>
                </c:pt>
                <c:pt idx="5">
                  <c:v>6.84</c:v>
                </c:pt>
                <c:pt idx="6">
                  <c:v>3.92</c:v>
                </c:pt>
                <c:pt idx="7">
                  <c:v>9.08</c:v>
                </c:pt>
                <c:pt idx="8">
                  <c:v>5.09</c:v>
                </c:pt>
                <c:pt idx="9">
                  <c:v>5.38</c:v>
                </c:pt>
                <c:pt idx="10">
                  <c:v>8.1</c:v>
                </c:pt>
                <c:pt idx="11">
                  <c:v>7.03</c:v>
                </c:pt>
                <c:pt idx="12">
                  <c:v>6.71</c:v>
                </c:pt>
                <c:pt idx="13">
                  <c:v>6.58</c:v>
                </c:pt>
                <c:pt idx="14">
                  <c:v>6.77</c:v>
                </c:pt>
                <c:pt idx="15">
                  <c:v>8.01</c:v>
                </c:pt>
                <c:pt idx="16">
                  <c:v>4.5999999999999996</c:v>
                </c:pt>
                <c:pt idx="17">
                  <c:v>8.48</c:v>
                </c:pt>
                <c:pt idx="18">
                  <c:v>17.899999999999999</c:v>
                </c:pt>
                <c:pt idx="19">
                  <c:v>16.399999999999999</c:v>
                </c:pt>
              </c:numCache>
            </c:numRef>
          </c:xVal>
          <c:yVal>
            <c:numRef>
              <c:f>'Alt Method Comparison'!$C$39:$C$59</c:f>
              <c:numCache>
                <c:formatCode>General</c:formatCode>
                <c:ptCount val="21"/>
                <c:pt idx="0">
                  <c:v>2.4300000000000002</c:v>
                </c:pt>
                <c:pt idx="1">
                  <c:v>7.056</c:v>
                </c:pt>
                <c:pt idx="2">
                  <c:v>6.4889999999999999</c:v>
                </c:pt>
                <c:pt idx="3">
                  <c:v>6.6240000000000006</c:v>
                </c:pt>
                <c:pt idx="4">
                  <c:v>6.4260000000000002</c:v>
                </c:pt>
                <c:pt idx="5">
                  <c:v>6.1559999999999997</c:v>
                </c:pt>
                <c:pt idx="6">
                  <c:v>3.528</c:v>
                </c:pt>
                <c:pt idx="7">
                  <c:v>8.1720000000000006</c:v>
                </c:pt>
                <c:pt idx="8">
                  <c:v>4.5809999999999995</c:v>
                </c:pt>
                <c:pt idx="9">
                  <c:v>4.8419999999999996</c:v>
                </c:pt>
                <c:pt idx="10">
                  <c:v>7.2899999999999991</c:v>
                </c:pt>
                <c:pt idx="11">
                  <c:v>6.327</c:v>
                </c:pt>
                <c:pt idx="12">
                  <c:v>6.0389999999999997</c:v>
                </c:pt>
                <c:pt idx="13">
                  <c:v>5.9219999999999997</c:v>
                </c:pt>
                <c:pt idx="14">
                  <c:v>6.093</c:v>
                </c:pt>
                <c:pt idx="15">
                  <c:v>7.2089999999999996</c:v>
                </c:pt>
                <c:pt idx="16">
                  <c:v>4.1399999999999997</c:v>
                </c:pt>
                <c:pt idx="17">
                  <c:v>7.6320000000000006</c:v>
                </c:pt>
                <c:pt idx="18">
                  <c:v>16.11</c:v>
                </c:pt>
                <c:pt idx="19">
                  <c:v>14.759999999999998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4746880"/>
        <c:axId val="264761344"/>
      </c:scatterChart>
      <c:valAx>
        <c:axId val="264746880"/>
        <c:scaling>
          <c:orientation val="minMax"/>
        </c:scaling>
        <c:delete val="0"/>
        <c:axPos val="b"/>
        <c:title>
          <c:tx>
            <c:strRef>
              <c:f>'Alt Method Comparison'!$J$6:$N$6</c:f>
              <c:strCache>
                <c:ptCount val="1"/>
                <c:pt idx="0">
                  <c:v>Roche - LabCorp</c:v>
                </c:pt>
              </c:strCache>
            </c:strRef>
          </c:tx>
          <c:layout/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6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4761344"/>
        <c:crosses val="autoZero"/>
        <c:crossBetween val="midCat"/>
      </c:valAx>
      <c:valAx>
        <c:axId val="264761344"/>
        <c:scaling>
          <c:orientation val="minMax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title>
          <c:tx>
            <c:strRef>
              <c:f>'Alt Method Comparison'!$J$5:$N$5</c:f>
              <c:strCache>
                <c:ptCount val="1"/>
                <c:pt idx="0">
                  <c:v>Roche e-411</c:v>
                </c:pt>
              </c:strCache>
            </c:strRef>
          </c:tx>
          <c:layout/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6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47468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547426205667719"/>
          <c:y val="0.11435561430733567"/>
          <c:w val="0.32612417624169693"/>
          <c:h val="0.24574324194877101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Bias</a:t>
            </a:r>
          </a:p>
        </c:rich>
      </c:tx>
      <c:layout>
        <c:manualLayout>
          <c:xMode val="edge"/>
          <c:yMode val="edge"/>
          <c:x val="0.46216279783208913"/>
          <c:y val="3.5842286955509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2990093156267"/>
          <c:y val="0.19713330649818864"/>
          <c:w val="0.81351458709167423"/>
          <c:h val="0.6272423388578729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'Alt Method Comparison'!$B$11:$B$30</c:f>
              <c:numCache>
                <c:formatCode>General</c:formatCode>
                <c:ptCount val="20"/>
                <c:pt idx="0">
                  <c:v>2.7</c:v>
                </c:pt>
                <c:pt idx="1">
                  <c:v>7.84</c:v>
                </c:pt>
                <c:pt idx="2">
                  <c:v>7.21</c:v>
                </c:pt>
                <c:pt idx="3">
                  <c:v>7.36</c:v>
                </c:pt>
                <c:pt idx="4">
                  <c:v>7.14</c:v>
                </c:pt>
                <c:pt idx="5">
                  <c:v>6.84</c:v>
                </c:pt>
                <c:pt idx="6">
                  <c:v>3.92</c:v>
                </c:pt>
                <c:pt idx="7">
                  <c:v>9.08</c:v>
                </c:pt>
                <c:pt idx="8">
                  <c:v>5.09</c:v>
                </c:pt>
                <c:pt idx="9">
                  <c:v>5.38</c:v>
                </c:pt>
                <c:pt idx="10">
                  <c:v>8.1</c:v>
                </c:pt>
                <c:pt idx="11">
                  <c:v>7.03</c:v>
                </c:pt>
                <c:pt idx="12">
                  <c:v>6.71</c:v>
                </c:pt>
                <c:pt idx="13">
                  <c:v>6.58</c:v>
                </c:pt>
                <c:pt idx="14">
                  <c:v>6.77</c:v>
                </c:pt>
                <c:pt idx="15">
                  <c:v>8.01</c:v>
                </c:pt>
                <c:pt idx="16">
                  <c:v>4.5999999999999996</c:v>
                </c:pt>
                <c:pt idx="17">
                  <c:v>8.48</c:v>
                </c:pt>
                <c:pt idx="18">
                  <c:v>17.899999999999999</c:v>
                </c:pt>
                <c:pt idx="19">
                  <c:v>16.399999999999999</c:v>
                </c:pt>
              </c:numCache>
            </c:numRef>
          </c:xVal>
          <c:yVal>
            <c:numRef>
              <c:f>'Alt Method Comparison'!$D$11:$D$30</c:f>
              <c:numCache>
                <c:formatCode>General</c:formatCode>
                <c:ptCount val="20"/>
                <c:pt idx="0">
                  <c:v>0</c:v>
                </c:pt>
                <c:pt idx="1">
                  <c:v>-0.59999999999999964</c:v>
                </c:pt>
                <c:pt idx="2">
                  <c:v>0.36000000000000032</c:v>
                </c:pt>
                <c:pt idx="3">
                  <c:v>-0.23000000000000043</c:v>
                </c:pt>
                <c:pt idx="4">
                  <c:v>0.27000000000000046</c:v>
                </c:pt>
                <c:pt idx="5">
                  <c:v>-4.9999999999999822E-2</c:v>
                </c:pt>
                <c:pt idx="6">
                  <c:v>0.20999999999999996</c:v>
                </c:pt>
                <c:pt idx="7">
                  <c:v>0.4399999999999995</c:v>
                </c:pt>
                <c:pt idx="8">
                  <c:v>0.17999999999999972</c:v>
                </c:pt>
                <c:pt idx="9">
                  <c:v>-0.21999999999999975</c:v>
                </c:pt>
                <c:pt idx="10">
                  <c:v>0.20000000000000107</c:v>
                </c:pt>
                <c:pt idx="11">
                  <c:v>-0.16000000000000014</c:v>
                </c:pt>
                <c:pt idx="12">
                  <c:v>-0.36000000000000032</c:v>
                </c:pt>
                <c:pt idx="13">
                  <c:v>-0.15000000000000036</c:v>
                </c:pt>
                <c:pt idx="14">
                  <c:v>-0.25999999999999979</c:v>
                </c:pt>
                <c:pt idx="15">
                  <c:v>-0.12999999999999989</c:v>
                </c:pt>
                <c:pt idx="16">
                  <c:v>-9.9999999999997868E-3</c:v>
                </c:pt>
                <c:pt idx="17">
                  <c:v>-6.0000000000000497E-2</c:v>
                </c:pt>
                <c:pt idx="18">
                  <c:v>0.17000000000000171</c:v>
                </c:pt>
                <c:pt idx="19">
                  <c:v>1.7000000000000028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4279552"/>
        <c:axId val="264282112"/>
      </c:scatterChart>
      <c:valAx>
        <c:axId val="264279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Reference Method</a:t>
                </a:r>
              </a:p>
            </c:rich>
          </c:tx>
          <c:layout>
            <c:manualLayout>
              <c:xMode val="edge"/>
              <c:yMode val="edge"/>
              <c:x val="0.42432482871459248"/>
              <c:y val="0.89247624219386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4282112"/>
        <c:crossesAt val="0"/>
        <c:crossBetween val="midCat"/>
      </c:valAx>
      <c:valAx>
        <c:axId val="264282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Bias</a:t>
                </a:r>
              </a:p>
            </c:rich>
          </c:tx>
          <c:layout>
            <c:manualLayout>
              <c:xMode val="edge"/>
              <c:yMode val="edge"/>
              <c:x val="1.8018202270170775E-2"/>
              <c:y val="0.47431480547690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42795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180004607857748"/>
          <c:y val="3.55870942961398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40241712760709"/>
          <c:y val="0.1708185053380783"/>
          <c:w val="0.82804446729411396"/>
          <c:h val="0.65480427046263345"/>
        </c:manualLayout>
      </c:layout>
      <c:scatterChart>
        <c:scatterStyle val="lineMarker"/>
        <c:varyColors val="0"/>
        <c:ser>
          <c:idx val="0"/>
          <c:order val="0"/>
          <c:tx>
            <c:v>Percent Bias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'Alt Method Comparison'!$B$11:$B$30</c:f>
              <c:numCache>
                <c:formatCode>General</c:formatCode>
                <c:ptCount val="20"/>
                <c:pt idx="0">
                  <c:v>2.7</c:v>
                </c:pt>
                <c:pt idx="1">
                  <c:v>7.84</c:v>
                </c:pt>
                <c:pt idx="2">
                  <c:v>7.21</c:v>
                </c:pt>
                <c:pt idx="3">
                  <c:v>7.36</c:v>
                </c:pt>
                <c:pt idx="4">
                  <c:v>7.14</c:v>
                </c:pt>
                <c:pt idx="5">
                  <c:v>6.84</c:v>
                </c:pt>
                <c:pt idx="6">
                  <c:v>3.92</c:v>
                </c:pt>
                <c:pt idx="7">
                  <c:v>9.08</c:v>
                </c:pt>
                <c:pt idx="8">
                  <c:v>5.09</c:v>
                </c:pt>
                <c:pt idx="9">
                  <c:v>5.38</c:v>
                </c:pt>
                <c:pt idx="10">
                  <c:v>8.1</c:v>
                </c:pt>
                <c:pt idx="11">
                  <c:v>7.03</c:v>
                </c:pt>
                <c:pt idx="12">
                  <c:v>6.71</c:v>
                </c:pt>
                <c:pt idx="13">
                  <c:v>6.58</c:v>
                </c:pt>
                <c:pt idx="14">
                  <c:v>6.77</c:v>
                </c:pt>
                <c:pt idx="15">
                  <c:v>8.01</c:v>
                </c:pt>
                <c:pt idx="16">
                  <c:v>4.5999999999999996</c:v>
                </c:pt>
                <c:pt idx="17">
                  <c:v>8.48</c:v>
                </c:pt>
                <c:pt idx="18">
                  <c:v>17.899999999999999</c:v>
                </c:pt>
                <c:pt idx="19">
                  <c:v>16.399999999999999</c:v>
                </c:pt>
              </c:numCache>
            </c:numRef>
          </c:xVal>
          <c:yVal>
            <c:numRef>
              <c:f>'Alt Method Comparison'!$R$2:$R$21</c:f>
              <c:numCache>
                <c:formatCode>General</c:formatCode>
                <c:ptCount val="20"/>
                <c:pt idx="0">
                  <c:v>0</c:v>
                </c:pt>
                <c:pt idx="1">
                  <c:v>-7.6530612244897922</c:v>
                </c:pt>
                <c:pt idx="2">
                  <c:v>4.9930651872399494</c:v>
                </c:pt>
                <c:pt idx="3">
                  <c:v>-3.1250000000000053</c:v>
                </c:pt>
                <c:pt idx="4">
                  <c:v>3.7815126050420234</c:v>
                </c:pt>
                <c:pt idx="5">
                  <c:v>-0.73099415204678109</c:v>
                </c:pt>
                <c:pt idx="6">
                  <c:v>5.3571428571428559</c:v>
                </c:pt>
                <c:pt idx="7">
                  <c:v>4.8458149779735633</c:v>
                </c:pt>
                <c:pt idx="8">
                  <c:v>3.5363457760314283</c:v>
                </c:pt>
                <c:pt idx="9">
                  <c:v>-4.0892193308550135</c:v>
                </c:pt>
                <c:pt idx="10">
                  <c:v>2.469135802469149</c:v>
                </c:pt>
                <c:pt idx="11">
                  <c:v>-2.2759601706970147</c:v>
                </c:pt>
                <c:pt idx="12">
                  <c:v>-5.3651266766020909</c:v>
                </c:pt>
                <c:pt idx="13">
                  <c:v>-2.2796352583586681</c:v>
                </c:pt>
                <c:pt idx="14">
                  <c:v>-3.84047267355982</c:v>
                </c:pt>
                <c:pt idx="15">
                  <c:v>-1.6229712858926331</c:v>
                </c:pt>
                <c:pt idx="16">
                  <c:v>-0.21739130434782145</c:v>
                </c:pt>
                <c:pt idx="17">
                  <c:v>-0.70754716981132659</c:v>
                </c:pt>
                <c:pt idx="18">
                  <c:v>0.949720670391071</c:v>
                </c:pt>
                <c:pt idx="19">
                  <c:v>10.365853658536604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4297856"/>
        <c:axId val="265176960"/>
      </c:scatterChart>
      <c:valAx>
        <c:axId val="264297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Reference Method</a:t>
                </a:r>
              </a:p>
            </c:rich>
          </c:tx>
          <c:layout>
            <c:manualLayout>
              <c:xMode val="edge"/>
              <c:yMode val="edge"/>
              <c:x val="0.4206361554203315"/>
              <c:y val="0.893238333013251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5176960"/>
        <c:crosses val="autoZero"/>
        <c:crossBetween val="midCat"/>
      </c:valAx>
      <c:valAx>
        <c:axId val="265176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Bias</a:t>
                </a:r>
              </a:p>
            </c:rich>
          </c:tx>
          <c:layout>
            <c:manualLayout>
              <c:xMode val="edge"/>
              <c:yMode val="edge"/>
              <c:x val="4.2328052366948109E-2"/>
              <c:y val="0.395017860572306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429785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Medical Decision Chart
</a:t>
            </a:r>
          </a:p>
        </c:rich>
      </c:tx>
      <c:layout>
        <c:manualLayout>
          <c:xMode val="edge"/>
          <c:yMode val="edge"/>
          <c:x val="0.37899598757051922"/>
          <c:y val="2.80528159236068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52311730264486"/>
          <c:y val="7.6331858847133394E-2"/>
          <c:w val="0.63440955382577591"/>
          <c:h val="0.76935811476629645"/>
        </c:manualLayout>
      </c:layout>
      <c:scatterChart>
        <c:scatterStyle val="lineMarker"/>
        <c:varyColors val="0"/>
        <c:ser>
          <c:idx val="0"/>
          <c:order val="0"/>
          <c:tx>
            <c:v>1</c:v>
          </c:tx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>
                <a:noFill/>
              </a:ln>
            </c:spPr>
          </c:marker>
          <c:xVal>
            <c:numRef>
              <c:f>'Sigma Metric'!$I$21</c:f>
              <c:numCache>
                <c:formatCode>0.0%</c:formatCode>
                <c:ptCount val="1"/>
                <c:pt idx="0">
                  <c:v>0.08</c:v>
                </c:pt>
              </c:numCache>
            </c:numRef>
          </c:xVal>
          <c:yVal>
            <c:numRef>
              <c:f>'Sigma Metric'!$I$20</c:f>
              <c:numCache>
                <c:formatCode>0.0%</c:formatCode>
                <c:ptCount val="1"/>
                <c:pt idx="0">
                  <c:v>1.6143871411613686</c:v>
                </c:pt>
              </c:numCache>
            </c:numRef>
          </c:yVal>
          <c:smooth val="0"/>
        </c:ser>
        <c:ser>
          <c:idx val="1"/>
          <c:order val="1"/>
          <c:tx>
            <c:v>2</c:v>
          </c:tx>
          <c:marker>
            <c:symbol val="picture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>
                <a:noFill/>
              </a:ln>
            </c:spPr>
          </c:marker>
          <c:xVal>
            <c:numRef>
              <c:f>'Sigma Metric'!$J$21</c:f>
              <c:numCache>
                <c:formatCode>0.0%</c:formatCode>
                <c:ptCount val="1"/>
                <c:pt idx="0">
                  <c:v>0.08</c:v>
                </c:pt>
              </c:numCache>
            </c:numRef>
          </c:xVal>
          <c:yVal>
            <c:numRef>
              <c:f>'Sigma Metric'!$J$20</c:f>
              <c:numCache>
                <c:formatCode>0.0%</c:formatCode>
                <c:ptCount val="1"/>
                <c:pt idx="0">
                  <c:v>0.23435931653284747</c:v>
                </c:pt>
              </c:numCache>
            </c:numRef>
          </c:yVal>
          <c:smooth val="0"/>
        </c:ser>
        <c:ser>
          <c:idx val="2"/>
          <c:order val="2"/>
          <c:tx>
            <c:v>3</c:v>
          </c:tx>
          <c:marker>
            <c:symbol val="picture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</c:spPr>
          </c:marker>
          <c:xVal>
            <c:numRef>
              <c:f>'Sigma Metric'!$K$21</c:f>
              <c:numCache>
                <c:formatCode>0.0%</c:formatCode>
                <c:ptCount val="1"/>
                <c:pt idx="0">
                  <c:v>0.05</c:v>
                </c:pt>
              </c:numCache>
            </c:numRef>
          </c:xVal>
          <c:yVal>
            <c:numRef>
              <c:f>'Sigma Metric'!$K$20</c:f>
              <c:numCache>
                <c:formatCode>0.0%</c:formatCode>
                <c:ptCount val="1"/>
                <c:pt idx="0">
                  <c:v>0.22564995834332535</c:v>
                </c:pt>
              </c:numCache>
            </c:numRef>
          </c:yVal>
          <c:smooth val="0"/>
        </c:ser>
        <c:ser>
          <c:idx val="3"/>
          <c:order val="3"/>
          <c:tx>
            <c:v>4</c:v>
          </c:tx>
          <c:marker>
            <c:symbol val="picture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</c:spPr>
          </c:marker>
          <c:xVal>
            <c:numRef>
              <c:f>'Sigma Metric'!$L$21</c:f>
              <c:numCache>
                <c:formatCode>0.0%</c:formatCode>
                <c:ptCount val="1"/>
                <c:pt idx="0">
                  <c:v>9.9999999999999992E-2</c:v>
                </c:pt>
              </c:numCache>
            </c:numRef>
          </c:xVal>
          <c:yVal>
            <c:numRef>
              <c:f>'Sigma Metric'!$L$20</c:f>
              <c:numCache>
                <c:formatCode>0.0%</c:formatCode>
                <c:ptCount val="1"/>
                <c:pt idx="0">
                  <c:v>0.37898638330205142</c:v>
                </c:pt>
              </c:numCache>
            </c:numRef>
          </c:yVal>
          <c:smooth val="0"/>
        </c:ser>
        <c:ser>
          <c:idx val="4"/>
          <c:order val="4"/>
          <c:tx>
            <c:v>5</c:v>
          </c:tx>
          <c:marker>
            <c:symbol val="picture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</c:spPr>
          </c:marker>
          <c:xVal>
            <c:numRef>
              <c:f>'Sigma Metric'!$M$21</c:f>
              <c:numCache>
                <c:formatCode>0.0%</c:formatCode>
                <c:ptCount val="1"/>
                <c:pt idx="0">
                  <c:v>0.1</c:v>
                </c:pt>
              </c:numCache>
            </c:numRef>
          </c:xVal>
          <c:yVal>
            <c:numRef>
              <c:f>'Sigma Metric'!$M$20</c:f>
              <c:numCache>
                <c:formatCode>0.0%</c:formatCode>
                <c:ptCount val="1"/>
                <c:pt idx="0">
                  <c:v>0.45565459578141265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4791936"/>
        <c:axId val="264810880"/>
      </c:scatterChart>
      <c:valAx>
        <c:axId val="264791936"/>
        <c:scaling>
          <c:orientation val="minMax"/>
          <c:max val="0.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Random Error (% of Allowable Error)</a:t>
                </a:r>
              </a:p>
            </c:rich>
          </c:tx>
          <c:layout>
            <c:manualLayout>
              <c:xMode val="edge"/>
              <c:yMode val="edge"/>
              <c:x val="0.28449648535312394"/>
              <c:y val="0.91915437191511473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4810880"/>
        <c:crosses val="autoZero"/>
        <c:crossBetween val="midCat"/>
        <c:majorUnit val="0.1"/>
        <c:minorUnit val="1.0000000000000005E-2"/>
      </c:valAx>
      <c:valAx>
        <c:axId val="2648108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Systematic Error (% of Allowable Error)</a:t>
                </a:r>
              </a:p>
            </c:rich>
          </c:tx>
          <c:layout>
            <c:manualLayout>
              <c:xMode val="edge"/>
              <c:yMode val="edge"/>
              <c:x val="2.2831025432165808E-2"/>
              <c:y val="0.32838336334238083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4791936"/>
        <c:crosses val="autoZero"/>
        <c:crossBetween val="midCat"/>
        <c:majorUnit val="0.2"/>
        <c:minorUnit val="0.1"/>
      </c:valAx>
    </c:plotArea>
    <c:plotVisOnly val="1"/>
    <c:dispBlanksAs val="span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 orientation="landscape" horizontalDpi="-3" verticalDpi="0"/>
  </c:printSettings>
  <c:userShapes r:id="rId6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260350</xdr:colOff>
      <xdr:row>12</xdr:row>
      <xdr:rowOff>19050</xdr:rowOff>
    </xdr:from>
    <xdr:to>
      <xdr:col>13</xdr:col>
      <xdr:colOff>565150</xdr:colOff>
      <xdr:row>32</xdr:row>
      <xdr:rowOff>152400</xdr:rowOff>
    </xdr:to>
    <xdr:graphicFrame macro="">
      <xdr:nvGraphicFramePr>
        <xdr:cNvPr id="1946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279400</xdr:colOff>
      <xdr:row>35</xdr:row>
      <xdr:rowOff>158750</xdr:rowOff>
    </xdr:from>
    <xdr:to>
      <xdr:col>13</xdr:col>
      <xdr:colOff>565150</xdr:colOff>
      <xdr:row>56</xdr:row>
      <xdr:rowOff>25400</xdr:rowOff>
    </xdr:to>
    <xdr:graphicFrame macro="">
      <xdr:nvGraphicFramePr>
        <xdr:cNvPr id="19461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158750</xdr:colOff>
      <xdr:row>9</xdr:row>
      <xdr:rowOff>19050</xdr:rowOff>
    </xdr:from>
    <xdr:to>
      <xdr:col>9</xdr:col>
      <xdr:colOff>596900</xdr:colOff>
      <xdr:row>22</xdr:row>
      <xdr:rowOff>177800</xdr:rowOff>
    </xdr:to>
    <xdr:graphicFrame macro="">
      <xdr:nvGraphicFramePr>
        <xdr:cNvPr id="13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673100</xdr:colOff>
      <xdr:row>9</xdr:row>
      <xdr:rowOff>31750</xdr:rowOff>
    </xdr:from>
    <xdr:to>
      <xdr:col>16</xdr:col>
      <xdr:colOff>425450</xdr:colOff>
      <xdr:row>23</xdr:row>
      <xdr:rowOff>19050</xdr:rowOff>
    </xdr:to>
    <xdr:graphicFrame macro="">
      <xdr:nvGraphicFramePr>
        <xdr:cNvPr id="1314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527050</xdr:colOff>
      <xdr:row>9</xdr:row>
      <xdr:rowOff>38100</xdr:rowOff>
    </xdr:from>
    <xdr:to>
      <xdr:col>22</xdr:col>
      <xdr:colOff>95250</xdr:colOff>
      <xdr:row>23</xdr:row>
      <xdr:rowOff>25400</xdr:rowOff>
    </xdr:to>
    <xdr:graphicFrame macro="">
      <xdr:nvGraphicFramePr>
        <xdr:cNvPr id="1315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10</xdr:row>
      <xdr:rowOff>120650</xdr:rowOff>
    </xdr:from>
    <xdr:to>
      <xdr:col>7</xdr:col>
      <xdr:colOff>1168400</xdr:colOff>
      <xdr:row>40</xdr:row>
      <xdr:rowOff>139700</xdr:rowOff>
    </xdr:to>
    <xdr:graphicFrame macro="">
      <xdr:nvGraphicFramePr>
        <xdr:cNvPr id="577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488950</xdr:colOff>
      <xdr:row>12</xdr:row>
      <xdr:rowOff>146050</xdr:rowOff>
    </xdr:from>
    <xdr:to>
      <xdr:col>6</xdr:col>
      <xdr:colOff>1289050</xdr:colOff>
      <xdr:row>36</xdr:row>
      <xdr:rowOff>6350</xdr:rowOff>
    </xdr:to>
    <xdr:sp macro="" textlink="">
      <xdr:nvSpPr>
        <xdr:cNvPr id="57741" name="Line 3"/>
        <xdr:cNvSpPr>
          <a:spLocks noChangeShapeType="1"/>
        </xdr:cNvSpPr>
      </xdr:nvSpPr>
      <xdr:spPr bwMode="auto">
        <a:xfrm>
          <a:off x="1206500" y="2393950"/>
          <a:ext cx="4286250" cy="4298950"/>
        </a:xfrm>
        <a:prstGeom prst="line">
          <a:avLst/>
        </a:prstGeom>
        <a:noFill/>
        <a:ln w="63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488950</xdr:colOff>
      <xdr:row>12</xdr:row>
      <xdr:rowOff>158750</xdr:rowOff>
    </xdr:from>
    <xdr:to>
      <xdr:col>5</xdr:col>
      <xdr:colOff>679450</xdr:colOff>
      <xdr:row>36</xdr:row>
      <xdr:rowOff>19050</xdr:rowOff>
    </xdr:to>
    <xdr:sp macro="" textlink="">
      <xdr:nvSpPr>
        <xdr:cNvPr id="57742" name="Line 4"/>
        <xdr:cNvSpPr>
          <a:spLocks noChangeShapeType="1"/>
        </xdr:cNvSpPr>
      </xdr:nvSpPr>
      <xdr:spPr bwMode="auto">
        <a:xfrm>
          <a:off x="1206500" y="2406650"/>
          <a:ext cx="2857500" cy="4298950"/>
        </a:xfrm>
        <a:prstGeom prst="line">
          <a:avLst/>
        </a:prstGeom>
        <a:noFill/>
        <a:ln w="6350">
          <a:solidFill>
            <a:srgbClr val="8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488950</xdr:colOff>
      <xdr:row>12</xdr:row>
      <xdr:rowOff>158750</xdr:rowOff>
    </xdr:from>
    <xdr:to>
      <xdr:col>5</xdr:col>
      <xdr:colOff>12700</xdr:colOff>
      <xdr:row>36</xdr:row>
      <xdr:rowOff>19050</xdr:rowOff>
    </xdr:to>
    <xdr:sp macro="" textlink="">
      <xdr:nvSpPr>
        <xdr:cNvPr id="57743" name="Line 5"/>
        <xdr:cNvSpPr>
          <a:spLocks noChangeShapeType="1"/>
        </xdr:cNvSpPr>
      </xdr:nvSpPr>
      <xdr:spPr bwMode="auto">
        <a:xfrm>
          <a:off x="1206500" y="2406650"/>
          <a:ext cx="2190750" cy="4298950"/>
        </a:xfrm>
        <a:prstGeom prst="line">
          <a:avLst/>
        </a:prstGeom>
        <a:noFill/>
        <a:ln w="6350">
          <a:solidFill>
            <a:srgbClr val="33CCCC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12</xdr:row>
      <xdr:rowOff>127000</xdr:rowOff>
    </xdr:from>
    <xdr:to>
      <xdr:col>3</xdr:col>
      <xdr:colOff>596900</xdr:colOff>
      <xdr:row>36</xdr:row>
      <xdr:rowOff>0</xdr:rowOff>
    </xdr:to>
    <xdr:sp macro="" textlink="">
      <xdr:nvSpPr>
        <xdr:cNvPr id="57744" name="Line 6"/>
        <xdr:cNvSpPr>
          <a:spLocks noChangeShapeType="1"/>
        </xdr:cNvSpPr>
      </xdr:nvSpPr>
      <xdr:spPr bwMode="auto">
        <a:xfrm>
          <a:off x="1212850" y="2374900"/>
          <a:ext cx="1435100" cy="4311650"/>
        </a:xfrm>
        <a:prstGeom prst="line">
          <a:avLst/>
        </a:prstGeom>
        <a:noFill/>
        <a:ln w="9525">
          <a:solidFill>
            <a:srgbClr val="00FF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0.52369</cdr:x>
      <cdr:y>0.503</cdr:y>
    </cdr:from>
    <cdr:to>
      <cdr:x>0.71429</cdr:x>
      <cdr:y>0.55038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61050" y="2878407"/>
          <a:ext cx="1168075" cy="2824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1"/>
        <a:lstStyle xmlns:a="http://schemas.openxmlformats.org/drawingml/2006/main"/>
        <a:p xmlns:a="http://schemas.openxmlformats.org/drawingml/2006/main">
          <a:r>
            <a:rPr lang="en-US" sz="1100"/>
            <a:t>Unacceptable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0.59322</cdr:x>
      <cdr:y>0.80712</cdr:y>
    </cdr:from>
    <cdr:to>
      <cdr:x>0.72802</cdr:x>
      <cdr:y>0.86758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684999" y="4689203"/>
          <a:ext cx="822383" cy="348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sz="1100"/>
            <a:t>Marginal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0.47032</cdr:x>
      <cdr:y>0.79754</cdr:y>
    </cdr:from>
    <cdr:to>
      <cdr:x>0.55267</cdr:x>
      <cdr:y>0.86617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928671" y="4632399"/>
          <a:ext cx="503720" cy="396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1"/>
        <a:lstStyle xmlns:a="http://schemas.openxmlformats.org/drawingml/2006/main"/>
        <a:p xmlns:a="http://schemas.openxmlformats.org/drawingml/2006/main">
          <a:r>
            <a:rPr lang="en-US" sz="1100"/>
            <a:t>Fair</a:t>
          </a:r>
        </a:p>
      </cdr:txBody>
    </cdr:sp>
  </cdr:relSizeAnchor>
  <cdr:relSizeAnchor xmlns:cdr="http://schemas.openxmlformats.org/drawingml/2006/chartDrawing">
    <cdr:from>
      <cdr:x>0.36627</cdr:x>
      <cdr:y>0.80739</cdr:y>
    </cdr:from>
    <cdr:to>
      <cdr:x>0.45296</cdr:x>
      <cdr:y>0.86401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292086" y="4690808"/>
          <a:ext cx="530591" cy="327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100"/>
            <a:t>Good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0.17905</cdr:x>
      <cdr:y>0.80595</cdr:y>
    </cdr:from>
    <cdr:to>
      <cdr:x>0.3296</cdr:x>
      <cdr:y>0.8743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145110" y="4682454"/>
          <a:ext cx="922929" cy="392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100"/>
            <a:t>Six Sigma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2"/>
  <sheetViews>
    <sheetView topLeftCell="A7" zoomScale="75" zoomScaleNormal="75" workbookViewId="0">
      <selection activeCell="A8" sqref="A8"/>
    </sheetView>
  </sheetViews>
  <sheetFormatPr defaultRowHeight="14.5" x14ac:dyDescent="0.35"/>
  <cols>
    <col min="5" max="5" width="10.54296875" customWidth="1"/>
    <col min="11" max="11" width="11.453125" bestFit="1" customWidth="1"/>
  </cols>
  <sheetData>
    <row r="2" spans="1:12" ht="33.5" x14ac:dyDescent="0.75">
      <c r="E2" s="95" t="str">
        <f>E8</f>
        <v>Total T4</v>
      </c>
      <c r="K2" s="91"/>
      <c r="L2" s="92"/>
    </row>
    <row r="3" spans="1:12" ht="26" x14ac:dyDescent="0.6">
      <c r="B3" s="140" t="s">
        <v>66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1:12" ht="15" customHeight="1" x14ac:dyDescent="0.6">
      <c r="B4" s="64"/>
      <c r="C4" s="64"/>
      <c r="D4" s="64"/>
      <c r="E4" s="64"/>
      <c r="F4" s="64"/>
      <c r="G4" s="64"/>
      <c r="H4" s="64"/>
      <c r="I4" s="64"/>
      <c r="J4" s="64"/>
    </row>
    <row r="5" spans="1:12" ht="15" customHeight="1" x14ac:dyDescent="0.6">
      <c r="B5" s="64"/>
      <c r="C5" s="145" t="s">
        <v>76</v>
      </c>
      <c r="D5" s="145"/>
      <c r="E5" s="90"/>
      <c r="F5" s="89"/>
      <c r="G5" s="89"/>
      <c r="H5" s="89"/>
      <c r="I5" s="89"/>
      <c r="J5" s="64"/>
    </row>
    <row r="6" spans="1:12" x14ac:dyDescent="0.35">
      <c r="B6" s="141" t="s">
        <v>67</v>
      </c>
      <c r="C6" s="141"/>
      <c r="D6" s="141"/>
      <c r="E6" s="81" t="s">
        <v>69</v>
      </c>
      <c r="F6" s="81"/>
      <c r="G6" s="81"/>
      <c r="H6" s="81"/>
      <c r="I6" s="81"/>
      <c r="J6" t="s">
        <v>29</v>
      </c>
      <c r="K6" s="83">
        <v>43752</v>
      </c>
      <c r="L6" s="81"/>
    </row>
    <row r="7" spans="1:12" x14ac:dyDescent="0.35">
      <c r="B7" s="141" t="s">
        <v>68</v>
      </c>
      <c r="C7" s="141"/>
      <c r="D7" s="141"/>
      <c r="E7" s="82" t="s">
        <v>70</v>
      </c>
      <c r="F7" s="82"/>
      <c r="G7" s="82"/>
      <c r="H7" s="82"/>
      <c r="I7" s="82"/>
      <c r="J7" t="s">
        <v>58</v>
      </c>
    </row>
    <row r="8" spans="1:12" x14ac:dyDescent="0.35">
      <c r="D8" s="62" t="s">
        <v>9</v>
      </c>
      <c r="E8" s="82" t="s">
        <v>77</v>
      </c>
      <c r="F8" s="82"/>
      <c r="G8" s="82"/>
      <c r="H8" s="82"/>
      <c r="I8" s="82"/>
      <c r="J8" t="s">
        <v>30</v>
      </c>
      <c r="K8" t="s">
        <v>31</v>
      </c>
    </row>
    <row r="9" spans="1:12" x14ac:dyDescent="0.35">
      <c r="A9" s="14"/>
      <c r="B9" s="4"/>
      <c r="D9" s="61" t="s">
        <v>10</v>
      </c>
      <c r="E9" s="63" t="s">
        <v>71</v>
      </c>
      <c r="F9" s="3"/>
      <c r="J9" s="47">
        <v>0.2</v>
      </c>
      <c r="K9" s="47">
        <v>10</v>
      </c>
    </row>
    <row r="10" spans="1:12" x14ac:dyDescent="0.35">
      <c r="A10" s="14"/>
      <c r="B10" s="4"/>
      <c r="D10" s="84" t="s">
        <v>73</v>
      </c>
      <c r="E10" s="63"/>
      <c r="F10" s="87"/>
      <c r="J10" s="88"/>
      <c r="K10" s="88"/>
    </row>
    <row r="11" spans="1:12" ht="15" thickBot="1" x14ac:dyDescent="0.4">
      <c r="A11" s="14"/>
      <c r="G11" s="4"/>
    </row>
    <row r="12" spans="1:12" ht="15.5" thickTop="1" thickBot="1" x14ac:dyDescent="0.4">
      <c r="A12" s="142" t="str">
        <f>IF(AND($C$39&gt;0.975,$H$34&gt;=19),"Experiment: PASSED","Experiment: FAILED (See Note Below**)")</f>
        <v>Experiment: PASSED</v>
      </c>
      <c r="B12" s="143"/>
      <c r="C12" s="143"/>
      <c r="D12" s="143"/>
      <c r="E12" s="144"/>
    </row>
    <row r="13" spans="1:12" ht="15.5" thickTop="1" thickBot="1" x14ac:dyDescent="0.4">
      <c r="A13" s="74" t="s">
        <v>0</v>
      </c>
      <c r="B13" s="74" t="s">
        <v>1</v>
      </c>
      <c r="C13" s="74" t="s">
        <v>2</v>
      </c>
      <c r="D13" s="74" t="s">
        <v>59</v>
      </c>
      <c r="E13" s="74" t="s">
        <v>60</v>
      </c>
      <c r="F13" s="39" t="s">
        <v>63</v>
      </c>
      <c r="G13" s="39" t="s">
        <v>64</v>
      </c>
      <c r="H13" s="67" t="s">
        <v>28</v>
      </c>
    </row>
    <row r="14" spans="1:12" ht="15" thickTop="1" x14ac:dyDescent="0.35">
      <c r="A14" s="72">
        <v>1</v>
      </c>
      <c r="B14" s="48">
        <v>2.7</v>
      </c>
      <c r="C14" s="48">
        <v>2.7</v>
      </c>
      <c r="D14" s="1">
        <f>C14-B14</f>
        <v>0</v>
      </c>
      <c r="E14" s="59">
        <f t="shared" ref="E14:E33" si="0">IF($J$9&gt;B14*($K$9/100),D14/$J$9,D14/(B14*($K$9/100)))</f>
        <v>0</v>
      </c>
      <c r="F14" s="14">
        <f t="shared" ref="F14:F33" si="1">IF(B14+$J$9&gt;B14*((100+$K$9)/100),B14+$J$9,B14*((100+$K$9)/100))</f>
        <v>2.9700000000000006</v>
      </c>
      <c r="G14" s="14">
        <f t="shared" ref="G14:G33" si="2">IF(B14-$J$9&lt;B14*((100-$K$9)/100),B14-$J$9,B14*((100-$K$9)/100))</f>
        <v>2.4300000000000002</v>
      </c>
      <c r="H14" s="78">
        <f>IF(AND(E14&gt;=-1,E14&lt;=1),1,0)</f>
        <v>1</v>
      </c>
    </row>
    <row r="15" spans="1:12" x14ac:dyDescent="0.35">
      <c r="A15" s="72">
        <f>A14+1</f>
        <v>2</v>
      </c>
      <c r="B15" s="48">
        <v>7.84</v>
      </c>
      <c r="C15" s="48">
        <v>7.24</v>
      </c>
      <c r="D15" s="1">
        <f t="shared" ref="D15:D33" si="3">C15-B15</f>
        <v>-0.59999999999999964</v>
      </c>
      <c r="E15" s="59">
        <f t="shared" si="0"/>
        <v>-0.76530612244897911</v>
      </c>
      <c r="F15" s="14">
        <f t="shared" si="1"/>
        <v>8.6240000000000006</v>
      </c>
      <c r="G15" s="14">
        <f t="shared" si="2"/>
        <v>7.056</v>
      </c>
      <c r="H15" s="78">
        <f t="shared" ref="H15:H33" si="4">IF(AND(E15&gt;=-1,E15&lt;=1),1,0)</f>
        <v>1</v>
      </c>
    </row>
    <row r="16" spans="1:12" x14ac:dyDescent="0.35">
      <c r="A16" s="72">
        <f>A15+1</f>
        <v>3</v>
      </c>
      <c r="B16" s="48">
        <v>7.21</v>
      </c>
      <c r="C16" s="48">
        <v>7.57</v>
      </c>
      <c r="D16" s="1">
        <f t="shared" si="3"/>
        <v>0.36000000000000032</v>
      </c>
      <c r="E16" s="59">
        <f t="shared" si="0"/>
        <v>0.49930651872399484</v>
      </c>
      <c r="F16" s="14">
        <f t="shared" si="1"/>
        <v>7.9310000000000009</v>
      </c>
      <c r="G16" s="14">
        <f t="shared" si="2"/>
        <v>6.4889999999999999</v>
      </c>
      <c r="H16" s="78">
        <f t="shared" si="4"/>
        <v>1</v>
      </c>
    </row>
    <row r="17" spans="1:8" x14ac:dyDescent="0.35">
      <c r="A17" s="72">
        <f>A16+1</f>
        <v>4</v>
      </c>
      <c r="B17" s="48">
        <v>7.36</v>
      </c>
      <c r="C17" s="48">
        <v>7.13</v>
      </c>
      <c r="D17" s="1">
        <f t="shared" si="3"/>
        <v>-0.23000000000000043</v>
      </c>
      <c r="E17" s="59">
        <f t="shared" si="0"/>
        <v>-0.31250000000000056</v>
      </c>
      <c r="F17" s="14">
        <f t="shared" si="1"/>
        <v>8.0960000000000019</v>
      </c>
      <c r="G17" s="14">
        <f t="shared" si="2"/>
        <v>6.6240000000000006</v>
      </c>
      <c r="H17" s="78">
        <f t="shared" si="4"/>
        <v>1</v>
      </c>
    </row>
    <row r="18" spans="1:8" x14ac:dyDescent="0.35">
      <c r="A18" s="72">
        <f t="shared" ref="A18:A33" si="5">A17+1</f>
        <v>5</v>
      </c>
      <c r="B18" s="48">
        <v>7.14</v>
      </c>
      <c r="C18" s="48">
        <v>7.41</v>
      </c>
      <c r="D18" s="1">
        <f t="shared" si="3"/>
        <v>0.27000000000000046</v>
      </c>
      <c r="E18" s="59">
        <f t="shared" si="0"/>
        <v>0.37815126050420234</v>
      </c>
      <c r="F18" s="14">
        <f t="shared" si="1"/>
        <v>7.8540000000000001</v>
      </c>
      <c r="G18" s="14">
        <f t="shared" si="2"/>
        <v>6.4260000000000002</v>
      </c>
      <c r="H18" s="78">
        <f t="shared" si="4"/>
        <v>1</v>
      </c>
    </row>
    <row r="19" spans="1:8" x14ac:dyDescent="0.35">
      <c r="A19" s="72">
        <f t="shared" si="5"/>
        <v>6</v>
      </c>
      <c r="B19" s="48">
        <v>6.84</v>
      </c>
      <c r="C19" s="48">
        <v>6.79</v>
      </c>
      <c r="D19" s="1">
        <f t="shared" si="3"/>
        <v>-4.9999999999999822E-2</v>
      </c>
      <c r="E19" s="59">
        <f t="shared" si="0"/>
        <v>-7.3099415204678095E-2</v>
      </c>
      <c r="F19" s="14">
        <f t="shared" si="1"/>
        <v>7.524</v>
      </c>
      <c r="G19" s="14">
        <f t="shared" si="2"/>
        <v>6.1559999999999997</v>
      </c>
      <c r="H19" s="78">
        <f t="shared" si="4"/>
        <v>1</v>
      </c>
    </row>
    <row r="20" spans="1:8" x14ac:dyDescent="0.35">
      <c r="A20" s="72">
        <f t="shared" si="5"/>
        <v>7</v>
      </c>
      <c r="B20" s="48">
        <v>3.92</v>
      </c>
      <c r="C20" s="48">
        <v>4.13</v>
      </c>
      <c r="D20" s="1">
        <f t="shared" si="3"/>
        <v>0.20999999999999996</v>
      </c>
      <c r="E20" s="59">
        <f t="shared" si="0"/>
        <v>0.53571428571428559</v>
      </c>
      <c r="F20" s="14">
        <f t="shared" si="1"/>
        <v>4.3120000000000003</v>
      </c>
      <c r="G20" s="14">
        <f t="shared" si="2"/>
        <v>3.528</v>
      </c>
      <c r="H20" s="78">
        <f t="shared" si="4"/>
        <v>1</v>
      </c>
    </row>
    <row r="21" spans="1:8" x14ac:dyDescent="0.35">
      <c r="A21" s="72">
        <f t="shared" si="5"/>
        <v>8</v>
      </c>
      <c r="B21" s="48">
        <v>9.08</v>
      </c>
      <c r="C21" s="48">
        <v>9.52</v>
      </c>
      <c r="D21" s="1">
        <f t="shared" si="3"/>
        <v>0.4399999999999995</v>
      </c>
      <c r="E21" s="59">
        <f t="shared" si="0"/>
        <v>0.48458149779735626</v>
      </c>
      <c r="F21" s="14">
        <f t="shared" si="1"/>
        <v>9.9880000000000013</v>
      </c>
      <c r="G21" s="14">
        <f t="shared" si="2"/>
        <v>8.1720000000000006</v>
      </c>
      <c r="H21" s="78">
        <f t="shared" si="4"/>
        <v>1</v>
      </c>
    </row>
    <row r="22" spans="1:8" x14ac:dyDescent="0.35">
      <c r="A22" s="72">
        <f t="shared" si="5"/>
        <v>9</v>
      </c>
      <c r="B22" s="48">
        <v>5.09</v>
      </c>
      <c r="C22" s="48">
        <v>5.27</v>
      </c>
      <c r="D22" s="1">
        <f t="shared" si="3"/>
        <v>0.17999999999999972</v>
      </c>
      <c r="E22" s="59">
        <f t="shared" si="0"/>
        <v>0.35363457760314287</v>
      </c>
      <c r="F22" s="14">
        <f t="shared" si="1"/>
        <v>5.5990000000000002</v>
      </c>
      <c r="G22" s="14">
        <f t="shared" si="2"/>
        <v>4.5810000000000004</v>
      </c>
      <c r="H22" s="78">
        <f t="shared" si="4"/>
        <v>1</v>
      </c>
    </row>
    <row r="23" spans="1:8" x14ac:dyDescent="0.35">
      <c r="A23" s="72">
        <f t="shared" si="5"/>
        <v>10</v>
      </c>
      <c r="B23" s="48">
        <v>5.38</v>
      </c>
      <c r="C23" s="48">
        <v>5.16</v>
      </c>
      <c r="D23" s="1">
        <f t="shared" si="3"/>
        <v>-0.21999999999999975</v>
      </c>
      <c r="E23" s="59">
        <f t="shared" si="0"/>
        <v>-0.40892193308550134</v>
      </c>
      <c r="F23" s="14">
        <f t="shared" si="1"/>
        <v>5.9180000000000001</v>
      </c>
      <c r="G23" s="14">
        <f t="shared" si="2"/>
        <v>4.8419999999999996</v>
      </c>
      <c r="H23" s="78">
        <f t="shared" si="4"/>
        <v>1</v>
      </c>
    </row>
    <row r="24" spans="1:8" x14ac:dyDescent="0.35">
      <c r="A24" s="72">
        <f t="shared" si="5"/>
        <v>11</v>
      </c>
      <c r="B24" s="48">
        <v>8.1</v>
      </c>
      <c r="C24" s="48">
        <v>8.3000000000000007</v>
      </c>
      <c r="D24" s="1">
        <f t="shared" si="3"/>
        <v>0.20000000000000107</v>
      </c>
      <c r="E24" s="59">
        <f t="shared" si="0"/>
        <v>0.24691358024691487</v>
      </c>
      <c r="F24" s="14">
        <f t="shared" si="1"/>
        <v>8.91</v>
      </c>
      <c r="G24" s="14">
        <f t="shared" si="2"/>
        <v>7.29</v>
      </c>
      <c r="H24" s="78">
        <f t="shared" si="4"/>
        <v>1</v>
      </c>
    </row>
    <row r="25" spans="1:8" x14ac:dyDescent="0.35">
      <c r="A25" s="72">
        <f t="shared" si="5"/>
        <v>12</v>
      </c>
      <c r="B25" s="48">
        <v>7.03</v>
      </c>
      <c r="C25" s="48">
        <v>6.87</v>
      </c>
      <c r="D25" s="1">
        <f t="shared" si="3"/>
        <v>-0.16000000000000014</v>
      </c>
      <c r="E25" s="59">
        <f t="shared" si="0"/>
        <v>-0.22759601706970145</v>
      </c>
      <c r="F25" s="14">
        <f t="shared" si="1"/>
        <v>7.7330000000000005</v>
      </c>
      <c r="G25" s="14">
        <f t="shared" si="2"/>
        <v>6.327</v>
      </c>
      <c r="H25" s="78">
        <f t="shared" si="4"/>
        <v>1</v>
      </c>
    </row>
    <row r="26" spans="1:8" x14ac:dyDescent="0.35">
      <c r="A26" s="72">
        <f t="shared" si="5"/>
        <v>13</v>
      </c>
      <c r="B26" s="48">
        <v>6.71</v>
      </c>
      <c r="C26" s="48">
        <v>6.35</v>
      </c>
      <c r="D26" s="1">
        <f t="shared" si="3"/>
        <v>-0.36000000000000032</v>
      </c>
      <c r="E26" s="59">
        <f t="shared" si="0"/>
        <v>-0.53651266766020911</v>
      </c>
      <c r="F26" s="14">
        <f t="shared" si="1"/>
        <v>7.3810000000000002</v>
      </c>
      <c r="G26" s="14">
        <f t="shared" si="2"/>
        <v>6.0389999999999997</v>
      </c>
      <c r="H26" s="78">
        <f t="shared" si="4"/>
        <v>1</v>
      </c>
    </row>
    <row r="27" spans="1:8" x14ac:dyDescent="0.35">
      <c r="A27" s="72">
        <f t="shared" si="5"/>
        <v>14</v>
      </c>
      <c r="B27" s="48">
        <v>6.58</v>
      </c>
      <c r="C27" s="48">
        <v>6.43</v>
      </c>
      <c r="D27" s="1">
        <f t="shared" si="3"/>
        <v>-0.15000000000000036</v>
      </c>
      <c r="E27" s="59">
        <f t="shared" si="0"/>
        <v>-0.22796352583586679</v>
      </c>
      <c r="F27" s="14">
        <f t="shared" si="1"/>
        <v>7.2380000000000004</v>
      </c>
      <c r="G27" s="14">
        <f t="shared" si="2"/>
        <v>5.9220000000000006</v>
      </c>
      <c r="H27" s="78">
        <f t="shared" si="4"/>
        <v>1</v>
      </c>
    </row>
    <row r="28" spans="1:8" x14ac:dyDescent="0.35">
      <c r="A28" s="72">
        <f t="shared" si="5"/>
        <v>15</v>
      </c>
      <c r="B28" s="48">
        <v>6.77</v>
      </c>
      <c r="C28" s="48">
        <v>6.51</v>
      </c>
      <c r="D28" s="1">
        <f t="shared" si="3"/>
        <v>-0.25999999999999979</v>
      </c>
      <c r="E28" s="59">
        <f t="shared" si="0"/>
        <v>-0.38404726735598194</v>
      </c>
      <c r="F28" s="14">
        <f t="shared" si="1"/>
        <v>7.4470000000000001</v>
      </c>
      <c r="G28" s="14">
        <f t="shared" si="2"/>
        <v>6.093</v>
      </c>
      <c r="H28" s="78">
        <f t="shared" si="4"/>
        <v>1</v>
      </c>
    </row>
    <row r="29" spans="1:8" x14ac:dyDescent="0.35">
      <c r="A29" s="72">
        <f t="shared" si="5"/>
        <v>16</v>
      </c>
      <c r="B29" s="48">
        <v>8.01</v>
      </c>
      <c r="C29" s="48">
        <v>7.88</v>
      </c>
      <c r="D29" s="1">
        <f t="shared" si="3"/>
        <v>-0.12999999999999989</v>
      </c>
      <c r="E29" s="59">
        <f t="shared" si="0"/>
        <v>-0.16229712858926329</v>
      </c>
      <c r="F29" s="14">
        <f t="shared" si="1"/>
        <v>8.8109999999999999</v>
      </c>
      <c r="G29" s="14">
        <f t="shared" si="2"/>
        <v>7.2089999999999996</v>
      </c>
      <c r="H29" s="78">
        <f t="shared" si="4"/>
        <v>1</v>
      </c>
    </row>
    <row r="30" spans="1:8" x14ac:dyDescent="0.35">
      <c r="A30" s="72">
        <f t="shared" si="5"/>
        <v>17</v>
      </c>
      <c r="B30" s="48">
        <v>4.5999999999999996</v>
      </c>
      <c r="C30" s="48">
        <v>4.59</v>
      </c>
      <c r="D30" s="1">
        <f t="shared" si="3"/>
        <v>-9.9999999999997868E-3</v>
      </c>
      <c r="E30" s="59">
        <f t="shared" si="0"/>
        <v>-2.1739130434782147E-2</v>
      </c>
      <c r="F30" s="14">
        <f t="shared" si="1"/>
        <v>5.0599999999999996</v>
      </c>
      <c r="G30" s="14">
        <f t="shared" si="2"/>
        <v>4.1399999999999997</v>
      </c>
      <c r="H30" s="78">
        <f t="shared" si="4"/>
        <v>1</v>
      </c>
    </row>
    <row r="31" spans="1:8" x14ac:dyDescent="0.35">
      <c r="A31" s="72">
        <f t="shared" si="5"/>
        <v>18</v>
      </c>
      <c r="B31" s="48">
        <v>8.48</v>
      </c>
      <c r="C31" s="48">
        <v>8.42</v>
      </c>
      <c r="D31" s="1">
        <f t="shared" si="3"/>
        <v>-6.0000000000000497E-2</v>
      </c>
      <c r="E31" s="59">
        <f t="shared" si="0"/>
        <v>-7.0754716981132657E-2</v>
      </c>
      <c r="F31" s="14">
        <f t="shared" si="1"/>
        <v>9.3280000000000012</v>
      </c>
      <c r="G31" s="14">
        <f t="shared" si="2"/>
        <v>7.6320000000000006</v>
      </c>
      <c r="H31" s="78">
        <f t="shared" si="4"/>
        <v>1</v>
      </c>
    </row>
    <row r="32" spans="1:8" x14ac:dyDescent="0.35">
      <c r="A32" s="72">
        <f t="shared" si="5"/>
        <v>19</v>
      </c>
      <c r="B32" s="48">
        <v>17.899999999999999</v>
      </c>
      <c r="C32" s="48">
        <v>18.07</v>
      </c>
      <c r="D32" s="1">
        <f t="shared" si="3"/>
        <v>0.17000000000000171</v>
      </c>
      <c r="E32" s="59">
        <f t="shared" si="0"/>
        <v>9.49720670391071E-2</v>
      </c>
      <c r="F32" s="14">
        <f t="shared" si="1"/>
        <v>19.690000000000001</v>
      </c>
      <c r="G32" s="14">
        <f t="shared" si="2"/>
        <v>16.11</v>
      </c>
      <c r="H32" s="78">
        <f t="shared" si="4"/>
        <v>1</v>
      </c>
    </row>
    <row r="33" spans="1:14" ht="15" thickBot="1" x14ac:dyDescent="0.4">
      <c r="A33" s="73">
        <f t="shared" si="5"/>
        <v>20</v>
      </c>
      <c r="B33" s="49">
        <v>16.399999999999999</v>
      </c>
      <c r="C33" s="49">
        <v>18.100000000000001</v>
      </c>
      <c r="D33" s="65">
        <f t="shared" si="3"/>
        <v>1.7000000000000028</v>
      </c>
      <c r="E33" s="66">
        <f t="shared" si="0"/>
        <v>1.0365853658536603</v>
      </c>
      <c r="F33" s="14">
        <f t="shared" si="1"/>
        <v>18.04</v>
      </c>
      <c r="G33" s="14">
        <f t="shared" si="2"/>
        <v>14.76</v>
      </c>
      <c r="H33" s="78">
        <f t="shared" si="4"/>
        <v>0</v>
      </c>
    </row>
    <row r="34" spans="1:14" ht="15" thickTop="1" x14ac:dyDescent="0.35">
      <c r="A34" s="72" t="s">
        <v>4</v>
      </c>
      <c r="B34">
        <f>AVERAGE(B14:B33)</f>
        <v>7.6570000000000009</v>
      </c>
      <c r="C34">
        <f>AVERAGE(C14:C33)</f>
        <v>7.7219999999999986</v>
      </c>
      <c r="D34" s="1">
        <f>AVERAGE(D14:D33)</f>
        <v>6.5000000000000252E-2</v>
      </c>
      <c r="E34" s="59">
        <f>AVERAGE(E14:E33)</f>
        <v>2.195606144082839E-2</v>
      </c>
      <c r="H34" s="78">
        <f>SUM(H14:H33)</f>
        <v>19</v>
      </c>
    </row>
    <row r="35" spans="1:14" ht="15" customHeight="1" x14ac:dyDescent="0.35">
      <c r="A35" s="72" t="s">
        <v>61</v>
      </c>
      <c r="B35" s="1">
        <f>MIN(B14:B33)</f>
        <v>2.7</v>
      </c>
      <c r="C35" s="1">
        <f>MIN(C14:C33)</f>
        <v>2.7</v>
      </c>
      <c r="D35" s="1">
        <f>MIN(D14:D33)</f>
        <v>-0.59999999999999964</v>
      </c>
      <c r="E35" s="59">
        <f>MIN(E14:E33)</f>
        <v>-0.76530612244897911</v>
      </c>
      <c r="F35" s="137" t="str">
        <f>IF($H$34&lt;19,"**Greater than 5% of the error indices are unacceptable. IF the correlation coeficient is greater than 0.975 (see below-left), see Alt Method Comparison tab for evaluation.","")</f>
        <v/>
      </c>
      <c r="G35" s="137"/>
      <c r="H35" s="137"/>
      <c r="I35" s="137"/>
      <c r="J35" s="137"/>
      <c r="K35" s="137"/>
      <c r="L35" s="137"/>
      <c r="M35" s="137"/>
      <c r="N35" s="137"/>
    </row>
    <row r="36" spans="1:14" ht="15" thickBot="1" x14ac:dyDescent="0.4">
      <c r="A36" s="73" t="s">
        <v>62</v>
      </c>
      <c r="B36" s="65">
        <f>MAX(B14:B33)</f>
        <v>17.899999999999999</v>
      </c>
      <c r="C36" s="65">
        <f>MAX(C14:C33)</f>
        <v>18.100000000000001</v>
      </c>
      <c r="D36" s="65">
        <f>MAX(D14:D33)</f>
        <v>1.7000000000000028</v>
      </c>
      <c r="E36" s="66">
        <f>MAX(E14:E33)</f>
        <v>1.0365853658536603</v>
      </c>
      <c r="F36" s="137"/>
      <c r="G36" s="137"/>
      <c r="H36" s="137"/>
      <c r="I36" s="137"/>
      <c r="J36" s="137"/>
      <c r="K36" s="137"/>
      <c r="L36" s="137"/>
      <c r="M36" s="137"/>
      <c r="N36" s="137"/>
    </row>
    <row r="37" spans="1:14" ht="15" thickTop="1" x14ac:dyDescent="0.35">
      <c r="A37" s="138" t="s">
        <v>11</v>
      </c>
      <c r="B37" s="138"/>
      <c r="C37" s="69">
        <f>SLOPE(C14:C33,B14:B33)</f>
        <v>1.06856592332195</v>
      </c>
      <c r="F37" s="80"/>
      <c r="G37" s="80"/>
      <c r="H37" s="80"/>
      <c r="I37" s="80"/>
      <c r="J37" s="80"/>
      <c r="K37" s="80"/>
      <c r="L37" s="80"/>
      <c r="M37" s="80"/>
      <c r="N37" s="80"/>
    </row>
    <row r="38" spans="1:14" x14ac:dyDescent="0.35">
      <c r="A38" s="139" t="s">
        <v>12</v>
      </c>
      <c r="B38" s="139"/>
      <c r="C38" s="69">
        <f>INTERCEPT(C14:C33,B14:B33)</f>
        <v>-0.46000927487617371</v>
      </c>
      <c r="F38" s="4"/>
    </row>
    <row r="39" spans="1:14" x14ac:dyDescent="0.35">
      <c r="A39" s="139" t="s">
        <v>65</v>
      </c>
      <c r="B39" s="139"/>
      <c r="C39" s="69">
        <f>CORREL(B14:B33,C14:C33)</f>
        <v>0.99491489774428477</v>
      </c>
      <c r="D39" t="str">
        <f>IF(C39&lt;0.975,"**Correlation Coefficient is too low. Troubleshoot Assay and re-analyse specimens", "")</f>
        <v/>
      </c>
    </row>
    <row r="40" spans="1:14" x14ac:dyDescent="0.35">
      <c r="A40" s="136"/>
      <c r="B40" s="136"/>
      <c r="C40" s="79"/>
    </row>
    <row r="60" spans="5:12" x14ac:dyDescent="0.35">
      <c r="E60" s="85"/>
      <c r="G60" s="86"/>
      <c r="H60" s="86"/>
      <c r="I60" s="86"/>
    </row>
    <row r="62" spans="5:12" x14ac:dyDescent="0.35">
      <c r="E62" t="s">
        <v>72</v>
      </c>
      <c r="G62" t="s">
        <v>74</v>
      </c>
      <c r="L62" t="s">
        <v>75</v>
      </c>
    </row>
  </sheetData>
  <sheetProtection selectLockedCells="1"/>
  <mergeCells count="10">
    <mergeCell ref="B3:L3"/>
    <mergeCell ref="B6:D6"/>
    <mergeCell ref="B7:D7"/>
    <mergeCell ref="A12:E12"/>
    <mergeCell ref="C5:D5"/>
    <mergeCell ref="A40:B40"/>
    <mergeCell ref="F35:N36"/>
    <mergeCell ref="A37:B37"/>
    <mergeCell ref="A38:B38"/>
    <mergeCell ref="A39:B39"/>
  </mergeCells>
  <conditionalFormatting sqref="E14:E36">
    <cfRule type="cellIs" dxfId="14" priority="6" stopIfTrue="1" operator="lessThan">
      <formula>-1</formula>
    </cfRule>
    <cfRule type="cellIs" dxfId="13" priority="7" stopIfTrue="1" operator="greaterThan">
      <formula>1</formula>
    </cfRule>
  </conditionalFormatting>
  <conditionalFormatting sqref="C39">
    <cfRule type="cellIs" dxfId="12" priority="5" stopIfTrue="1" operator="lessThan">
      <formula>0.975</formula>
    </cfRule>
  </conditionalFormatting>
  <conditionalFormatting sqref="A12">
    <cfRule type="cellIs" dxfId="11" priority="3" stopIfTrue="1" operator="equal">
      <formula>"Experiment: FAILED (See Note Below**)"</formula>
    </cfRule>
    <cfRule type="cellIs" dxfId="10" priority="4" stopIfTrue="1" operator="equal">
      <formula>"Experiment: PASSED"</formula>
    </cfRule>
  </conditionalFormatting>
  <conditionalFormatting sqref="D39">
    <cfRule type="cellIs" dxfId="9" priority="2" stopIfTrue="1" operator="notEqual">
      <formula>""""""</formula>
    </cfRule>
  </conditionalFormatting>
  <conditionalFormatting sqref="F35:N37">
    <cfRule type="cellIs" dxfId="8" priority="1" stopIfTrue="1" operator="notEqual">
      <formula>""""""</formula>
    </cfRule>
  </conditionalFormatting>
  <pageMargins left="0.45" right="0.45" top="0.5" bottom="0.5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92"/>
  <sheetViews>
    <sheetView zoomScaleNormal="100" workbookViewId="0">
      <selection activeCell="V7" sqref="V7"/>
    </sheetView>
  </sheetViews>
  <sheetFormatPr defaultRowHeight="14.5" x14ac:dyDescent="0.35"/>
  <cols>
    <col min="1" max="1" width="8.54296875" bestFit="1" customWidth="1"/>
    <col min="2" max="2" width="8.7265625" customWidth="1"/>
    <col min="3" max="3" width="9.54296875" customWidth="1"/>
    <col min="4" max="4" width="6.81640625" bestFit="1" customWidth="1"/>
    <col min="5" max="5" width="12.54296875" bestFit="1" customWidth="1"/>
    <col min="6" max="6" width="5.7265625" customWidth="1"/>
    <col min="7" max="7" width="9.26953125" bestFit="1" customWidth="1"/>
    <col min="8" max="8" width="10.54296875" customWidth="1"/>
    <col min="9" max="9" width="9.453125" bestFit="1" customWidth="1"/>
    <col min="10" max="10" width="10.26953125" customWidth="1"/>
    <col min="11" max="11" width="2.26953125" customWidth="1"/>
    <col min="12" max="12" width="11.54296875" customWidth="1"/>
    <col min="13" max="13" width="12.1796875" bestFit="1" customWidth="1"/>
    <col min="14" max="15" width="9.453125" bestFit="1" customWidth="1"/>
    <col min="16" max="16" width="5.81640625" customWidth="1"/>
    <col min="17" max="17" width="13.7265625" customWidth="1"/>
    <col min="18" max="18" width="9.26953125" bestFit="1" customWidth="1"/>
    <col min="21" max="21" width="9.81640625" customWidth="1"/>
    <col min="26" max="26" width="12.7265625" customWidth="1"/>
    <col min="27" max="27" width="13.1796875" customWidth="1"/>
    <col min="28" max="28" width="13" customWidth="1"/>
    <col min="29" max="29" width="14" customWidth="1"/>
  </cols>
  <sheetData>
    <row r="2" spans="1:18" ht="15" customHeight="1" x14ac:dyDescent="0.35">
      <c r="G2" s="149" t="s">
        <v>6</v>
      </c>
      <c r="H2" s="149"/>
      <c r="I2" s="149"/>
      <c r="J2" s="149"/>
      <c r="K2" s="149"/>
      <c r="L2" s="149"/>
      <c r="M2" s="149"/>
      <c r="N2" s="149"/>
      <c r="O2" s="149"/>
      <c r="R2" s="2">
        <f t="shared" ref="R2:R21" si="0">(D11/B11)*100</f>
        <v>0</v>
      </c>
    </row>
    <row r="3" spans="1:18" ht="15" customHeight="1" x14ac:dyDescent="0.35">
      <c r="G3" s="149"/>
      <c r="H3" s="149"/>
      <c r="I3" s="149"/>
      <c r="J3" s="149"/>
      <c r="K3" s="149"/>
      <c r="L3" s="149"/>
      <c r="M3" s="149"/>
      <c r="N3" s="149"/>
      <c r="O3" s="149"/>
      <c r="R3" s="2">
        <f t="shared" si="0"/>
        <v>-7.6530612244897922</v>
      </c>
    </row>
    <row r="4" spans="1:18" ht="18" customHeight="1" x14ac:dyDescent="0.5"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2">
        <f t="shared" si="0"/>
        <v>4.9930651872399494</v>
      </c>
    </row>
    <row r="5" spans="1:18" ht="18" customHeight="1" x14ac:dyDescent="0.45">
      <c r="G5" s="148" t="s">
        <v>7</v>
      </c>
      <c r="H5" s="148"/>
      <c r="I5" s="148"/>
      <c r="J5" s="147" t="str">
        <f>'Method Comparison'!E6</f>
        <v>Roche e-411</v>
      </c>
      <c r="K5" s="147"/>
      <c r="L5" s="147"/>
      <c r="M5" s="147"/>
      <c r="N5" s="147"/>
      <c r="O5" s="93" t="s">
        <v>29</v>
      </c>
      <c r="P5" s="147">
        <f>'Method Comparison'!K6</f>
        <v>43752</v>
      </c>
      <c r="Q5" s="147"/>
      <c r="R5" s="2">
        <f t="shared" si="0"/>
        <v>-3.1250000000000053</v>
      </c>
    </row>
    <row r="6" spans="1:18" ht="18" customHeight="1" x14ac:dyDescent="0.45">
      <c r="G6" s="93"/>
      <c r="H6" s="148" t="s">
        <v>8</v>
      </c>
      <c r="I6" s="148"/>
      <c r="J6" s="146" t="str">
        <f>'Method Comparison'!E7</f>
        <v>Roche - LabCorp</v>
      </c>
      <c r="K6" s="146"/>
      <c r="L6" s="146"/>
      <c r="M6" s="146"/>
      <c r="N6" s="146"/>
      <c r="O6" s="93" t="s">
        <v>58</v>
      </c>
      <c r="P6" s="93"/>
      <c r="Q6" s="93"/>
      <c r="R6" s="2">
        <f t="shared" si="0"/>
        <v>3.7815126050420234</v>
      </c>
    </row>
    <row r="7" spans="1:18" ht="18" customHeight="1" x14ac:dyDescent="0.45">
      <c r="E7" s="4"/>
      <c r="G7" s="93"/>
      <c r="H7" s="93"/>
      <c r="I7" s="96" t="s">
        <v>9</v>
      </c>
      <c r="J7" s="146" t="str">
        <f>'Method Comparison'!E8</f>
        <v>Total T4</v>
      </c>
      <c r="K7" s="146"/>
      <c r="L7" s="146"/>
      <c r="M7" s="146"/>
      <c r="N7" s="146"/>
      <c r="O7" s="93" t="s">
        <v>30</v>
      </c>
      <c r="P7" s="93" t="s">
        <v>31</v>
      </c>
      <c r="Q7" s="93"/>
      <c r="R7" s="2">
        <f t="shared" si="0"/>
        <v>-0.73099415204678109</v>
      </c>
    </row>
    <row r="8" spans="1:18" ht="18" customHeight="1" x14ac:dyDescent="0.45">
      <c r="G8" s="93"/>
      <c r="H8" s="93"/>
      <c r="I8" s="96" t="s">
        <v>10</v>
      </c>
      <c r="J8" s="97" t="str">
        <f>IF('Method Comparison'!E9&gt;0,'Method Comparison'!E9,"Units not entered")</f>
        <v>ug/dL</v>
      </c>
      <c r="K8" s="98"/>
      <c r="L8" s="93"/>
      <c r="M8" s="93"/>
      <c r="N8" s="93"/>
      <c r="O8" s="99">
        <f>'Method Comparison'!J9</f>
        <v>0.2</v>
      </c>
      <c r="P8" s="99">
        <f>'Method Comparison'!K9</f>
        <v>10</v>
      </c>
      <c r="Q8" s="93"/>
      <c r="R8" s="2">
        <f t="shared" si="0"/>
        <v>5.3571428571428559</v>
      </c>
    </row>
    <row r="9" spans="1:18" ht="18" customHeight="1" x14ac:dyDescent="0.45"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2">
        <f t="shared" si="0"/>
        <v>4.8458149779735633</v>
      </c>
    </row>
    <row r="10" spans="1:18" ht="15" thickBot="1" x14ac:dyDescent="0.4">
      <c r="A10" s="75" t="s">
        <v>0</v>
      </c>
      <c r="B10" s="75" t="s">
        <v>1</v>
      </c>
      <c r="C10" s="75" t="s">
        <v>2</v>
      </c>
      <c r="D10" s="76" t="s">
        <v>3</v>
      </c>
      <c r="E10" s="12" t="s">
        <v>15</v>
      </c>
      <c r="R10" s="2">
        <f t="shared" si="0"/>
        <v>3.5363457760314283</v>
      </c>
    </row>
    <row r="11" spans="1:18" ht="15" thickTop="1" x14ac:dyDescent="0.35">
      <c r="A11" s="72">
        <v>1</v>
      </c>
      <c r="B11" s="70">
        <f>'Method Comparison'!B14</f>
        <v>2.7</v>
      </c>
      <c r="C11" s="70">
        <f>'Method Comparison'!C14</f>
        <v>2.7</v>
      </c>
      <c r="D11">
        <f>C11-B11</f>
        <v>0</v>
      </c>
      <c r="E11" s="2">
        <f t="shared" ref="E11:E31" si="1">POWER(D11-$D$34,2)</f>
        <v>4.2249999999997047E-3</v>
      </c>
      <c r="F11" s="2">
        <f>E11/19</f>
        <v>2.2236842105261603E-4</v>
      </c>
      <c r="R11" s="2">
        <f t="shared" si="0"/>
        <v>-4.0892193308550135</v>
      </c>
    </row>
    <row r="12" spans="1:18" x14ac:dyDescent="0.35">
      <c r="A12" s="72">
        <f>A11+1</f>
        <v>2</v>
      </c>
      <c r="B12" s="70">
        <f>'Method Comparison'!B15</f>
        <v>7.84</v>
      </c>
      <c r="C12" s="70">
        <f>'Method Comparison'!C15</f>
        <v>7.24</v>
      </c>
      <c r="D12">
        <f t="shared" ref="D12:D30" si="2">C12-B12</f>
        <v>-0.59999999999999964</v>
      </c>
      <c r="E12" s="2">
        <f t="shared" si="1"/>
        <v>0.44222499999999648</v>
      </c>
      <c r="F12" s="2">
        <f t="shared" ref="F12:F30" si="3">E12/19</f>
        <v>2.3274999999999813E-2</v>
      </c>
      <c r="R12" s="2">
        <f t="shared" si="0"/>
        <v>2.469135802469149</v>
      </c>
    </row>
    <row r="13" spans="1:18" x14ac:dyDescent="0.35">
      <c r="A13" s="72">
        <f>A12+1</f>
        <v>3</v>
      </c>
      <c r="B13" s="70">
        <f>'Method Comparison'!B16</f>
        <v>7.21</v>
      </c>
      <c r="C13" s="70">
        <f>'Method Comparison'!C16</f>
        <v>7.57</v>
      </c>
      <c r="D13">
        <f t="shared" si="2"/>
        <v>0.36000000000000032</v>
      </c>
      <c r="E13" s="2">
        <f t="shared" si="1"/>
        <v>8.7025000000001532E-2</v>
      </c>
      <c r="F13" s="2">
        <f t="shared" si="3"/>
        <v>4.5802631578948172E-3</v>
      </c>
      <c r="R13" s="2">
        <f t="shared" si="0"/>
        <v>-2.2759601706970147</v>
      </c>
    </row>
    <row r="14" spans="1:18" x14ac:dyDescent="0.35">
      <c r="A14" s="72">
        <f>A13+1</f>
        <v>4</v>
      </c>
      <c r="B14" s="70">
        <f>'Method Comparison'!B17</f>
        <v>7.36</v>
      </c>
      <c r="C14" s="70">
        <f>'Method Comparison'!C17</f>
        <v>7.13</v>
      </c>
      <c r="D14">
        <f t="shared" si="2"/>
        <v>-0.23000000000000043</v>
      </c>
      <c r="E14" s="2">
        <f t="shared" si="1"/>
        <v>8.7024999999998909E-2</v>
      </c>
      <c r="F14" s="2">
        <f t="shared" si="3"/>
        <v>4.5802631578946793E-3</v>
      </c>
      <c r="R14" s="2">
        <f t="shared" si="0"/>
        <v>-5.3651266766020909</v>
      </c>
    </row>
    <row r="15" spans="1:18" x14ac:dyDescent="0.35">
      <c r="A15" s="72">
        <f t="shared" ref="A15:A30" si="4">A14+1</f>
        <v>5</v>
      </c>
      <c r="B15" s="70">
        <f>'Method Comparison'!B18</f>
        <v>7.14</v>
      </c>
      <c r="C15" s="70">
        <f>'Method Comparison'!C18</f>
        <v>7.41</v>
      </c>
      <c r="D15">
        <f t="shared" si="2"/>
        <v>0.27000000000000046</v>
      </c>
      <c r="E15" s="2">
        <f t="shared" si="1"/>
        <v>4.2025000000001124E-2</v>
      </c>
      <c r="F15" s="2">
        <f t="shared" si="3"/>
        <v>2.2118421052632169E-3</v>
      </c>
      <c r="H15">
        <v>0</v>
      </c>
      <c r="I15" s="9">
        <f>J37</f>
        <v>-0.46000927487617371</v>
      </c>
      <c r="R15" s="2">
        <f t="shared" si="0"/>
        <v>-2.2796352583586681</v>
      </c>
    </row>
    <row r="16" spans="1:18" x14ac:dyDescent="0.35">
      <c r="A16" s="72">
        <f t="shared" si="4"/>
        <v>6</v>
      </c>
      <c r="B16" s="70">
        <f>'Method Comparison'!B19</f>
        <v>6.84</v>
      </c>
      <c r="C16" s="70">
        <f>'Method Comparison'!C19</f>
        <v>6.79</v>
      </c>
      <c r="D16">
        <f t="shared" si="2"/>
        <v>-4.9999999999999822E-2</v>
      </c>
      <c r="E16" s="2">
        <f>POWER(D16-$D$34,2)</f>
        <v>1.3224999999999437E-2</v>
      </c>
      <c r="F16" s="2">
        <f t="shared" si="3"/>
        <v>6.960526315789177E-4</v>
      </c>
      <c r="H16">
        <f>B11</f>
        <v>2.7</v>
      </c>
      <c r="I16">
        <f>C11</f>
        <v>2.7</v>
      </c>
      <c r="R16" s="2">
        <f t="shared" si="0"/>
        <v>-3.84047267355982</v>
      </c>
    </row>
    <row r="17" spans="1:30" x14ac:dyDescent="0.35">
      <c r="A17" s="72">
        <f t="shared" si="4"/>
        <v>7</v>
      </c>
      <c r="B17" s="70">
        <f>'Method Comparison'!B20</f>
        <v>3.92</v>
      </c>
      <c r="C17" s="70">
        <f>'Method Comparison'!C20</f>
        <v>4.13</v>
      </c>
      <c r="D17">
        <f t="shared" si="2"/>
        <v>0.20999999999999996</v>
      </c>
      <c r="E17" s="2">
        <f t="shared" si="1"/>
        <v>2.1025000000000651E-2</v>
      </c>
      <c r="F17" s="2">
        <f t="shared" si="3"/>
        <v>1.1065789473684554E-3</v>
      </c>
      <c r="G17" s="4"/>
      <c r="M17" s="4"/>
      <c r="N17" s="4"/>
      <c r="P17" s="1"/>
      <c r="R17" s="2">
        <f t="shared" si="0"/>
        <v>-1.6229712858926331</v>
      </c>
    </row>
    <row r="18" spans="1:30" x14ac:dyDescent="0.35">
      <c r="A18" s="72">
        <f t="shared" si="4"/>
        <v>8</v>
      </c>
      <c r="B18" s="70">
        <f>'Method Comparison'!B21</f>
        <v>9.08</v>
      </c>
      <c r="C18" s="70">
        <f>'Method Comparison'!C21</f>
        <v>9.52</v>
      </c>
      <c r="D18">
        <f t="shared" si="2"/>
        <v>0.4399999999999995</v>
      </c>
      <c r="E18" s="2">
        <f t="shared" si="1"/>
        <v>0.14062500000000133</v>
      </c>
      <c r="F18" s="2">
        <f t="shared" si="3"/>
        <v>7.4013157894737541E-3</v>
      </c>
      <c r="G18" s="7"/>
      <c r="M18" s="8"/>
      <c r="N18" s="8"/>
      <c r="R18" s="2">
        <f t="shared" si="0"/>
        <v>-0.21739130434782145</v>
      </c>
    </row>
    <row r="19" spans="1:30" x14ac:dyDescent="0.35">
      <c r="A19" s="72">
        <f t="shared" si="4"/>
        <v>9</v>
      </c>
      <c r="B19" s="70">
        <f>'Method Comparison'!B22</f>
        <v>5.09</v>
      </c>
      <c r="C19" s="70">
        <f>'Method Comparison'!C22</f>
        <v>5.27</v>
      </c>
      <c r="D19">
        <f t="shared" si="2"/>
        <v>0.17999999999999972</v>
      </c>
      <c r="E19" s="2">
        <f t="shared" si="1"/>
        <v>1.3225000000000457E-2</v>
      </c>
      <c r="F19" s="2">
        <f t="shared" si="3"/>
        <v>6.9605263157897137E-4</v>
      </c>
      <c r="M19" s="10"/>
      <c r="N19" s="5"/>
      <c r="R19" s="2">
        <f t="shared" si="0"/>
        <v>-0.70754716981132659</v>
      </c>
    </row>
    <row r="20" spans="1:30" x14ac:dyDescent="0.35">
      <c r="A20" s="72">
        <f t="shared" si="4"/>
        <v>10</v>
      </c>
      <c r="B20" s="70">
        <f>'Method Comparison'!B23</f>
        <v>5.38</v>
      </c>
      <c r="C20" s="70">
        <f>'Method Comparison'!C23</f>
        <v>5.16</v>
      </c>
      <c r="D20">
        <f t="shared" si="2"/>
        <v>-0.21999999999999975</v>
      </c>
      <c r="E20" s="2">
        <f t="shared" si="1"/>
        <v>8.1224999999998562E-2</v>
      </c>
      <c r="F20" s="2">
        <f t="shared" si="3"/>
        <v>4.2749999999999247E-3</v>
      </c>
      <c r="M20" s="6"/>
      <c r="N20" s="6"/>
      <c r="R20" s="2">
        <f t="shared" si="0"/>
        <v>0.949720670391071</v>
      </c>
    </row>
    <row r="21" spans="1:30" x14ac:dyDescent="0.35">
      <c r="A21" s="72">
        <f t="shared" si="4"/>
        <v>11</v>
      </c>
      <c r="B21" s="70">
        <f>'Method Comparison'!B24</f>
        <v>8.1</v>
      </c>
      <c r="C21" s="70">
        <f>'Method Comparison'!C24</f>
        <v>8.3000000000000007</v>
      </c>
      <c r="D21">
        <f t="shared" si="2"/>
        <v>0.20000000000000107</v>
      </c>
      <c r="E21" s="2">
        <f t="shared" si="1"/>
        <v>1.82250000000009E-2</v>
      </c>
      <c r="F21" s="2">
        <f t="shared" si="3"/>
        <v>9.5921052631583689E-4</v>
      </c>
      <c r="G21" s="4"/>
      <c r="M21" s="4"/>
      <c r="N21" s="4"/>
      <c r="R21" s="2">
        <f t="shared" si="0"/>
        <v>10.365853658536604</v>
      </c>
    </row>
    <row r="22" spans="1:30" x14ac:dyDescent="0.35">
      <c r="A22" s="72">
        <f t="shared" si="4"/>
        <v>12</v>
      </c>
      <c r="B22" s="70">
        <f>'Method Comparison'!B25</f>
        <v>7.03</v>
      </c>
      <c r="C22" s="70">
        <f>'Method Comparison'!C25</f>
        <v>6.87</v>
      </c>
      <c r="D22">
        <f t="shared" si="2"/>
        <v>-0.16000000000000014</v>
      </c>
      <c r="E22" s="2">
        <f t="shared" si="1"/>
        <v>5.0624999999999039E-2</v>
      </c>
      <c r="F22" s="2">
        <f t="shared" si="3"/>
        <v>2.6644736842104757E-3</v>
      </c>
    </row>
    <row r="23" spans="1:30" x14ac:dyDescent="0.35">
      <c r="A23" s="72">
        <f t="shared" si="4"/>
        <v>13</v>
      </c>
      <c r="B23" s="70">
        <f>'Method Comparison'!B26</f>
        <v>6.71</v>
      </c>
      <c r="C23" s="70">
        <f>'Method Comparison'!C26</f>
        <v>6.35</v>
      </c>
      <c r="D23">
        <f t="shared" si="2"/>
        <v>-0.36000000000000032</v>
      </c>
      <c r="E23" s="2">
        <f t="shared" si="1"/>
        <v>0.18062499999999834</v>
      </c>
      <c r="F23" s="2">
        <f t="shared" si="3"/>
        <v>9.506578947368333E-3</v>
      </c>
    </row>
    <row r="24" spans="1:30" x14ac:dyDescent="0.35">
      <c r="A24" s="72">
        <f t="shared" si="4"/>
        <v>14</v>
      </c>
      <c r="B24" s="70">
        <f>'Method Comparison'!B27</f>
        <v>6.58</v>
      </c>
      <c r="C24" s="70">
        <f>'Method Comparison'!C27</f>
        <v>6.43</v>
      </c>
      <c r="D24">
        <f t="shared" si="2"/>
        <v>-0.15000000000000036</v>
      </c>
      <c r="E24" s="2">
        <f t="shared" si="1"/>
        <v>4.6224999999999176E-2</v>
      </c>
      <c r="F24" s="2">
        <f t="shared" si="3"/>
        <v>2.4328947368420619E-3</v>
      </c>
    </row>
    <row r="25" spans="1:30" ht="15.5" x14ac:dyDescent="0.35">
      <c r="A25" s="72">
        <f t="shared" si="4"/>
        <v>15</v>
      </c>
      <c r="B25" s="70">
        <f>'Method Comparison'!B28</f>
        <v>6.77</v>
      </c>
      <c r="C25" s="70">
        <f>'Method Comparison'!C28</f>
        <v>6.51</v>
      </c>
      <c r="D25">
        <f t="shared" si="2"/>
        <v>-0.25999999999999979</v>
      </c>
      <c r="E25" s="2">
        <f t="shared" si="1"/>
        <v>0.10562499999999839</v>
      </c>
      <c r="F25" s="2">
        <f t="shared" si="3"/>
        <v>5.5592105263157048E-3</v>
      </c>
      <c r="G25" s="128"/>
      <c r="H25" s="129" t="s">
        <v>21</v>
      </c>
      <c r="I25" s="130"/>
      <c r="J25" s="129" t="s">
        <v>23</v>
      </c>
      <c r="K25" s="130"/>
      <c r="L25" s="130"/>
      <c r="M25" s="150" t="s">
        <v>25</v>
      </c>
      <c r="N25" s="150"/>
      <c r="O25" s="150"/>
      <c r="P25" s="130"/>
      <c r="Q25" s="130" t="s">
        <v>28</v>
      </c>
      <c r="R25" s="11"/>
    </row>
    <row r="26" spans="1:30" ht="16" thickBot="1" x14ac:dyDescent="0.4">
      <c r="A26" s="72">
        <f t="shared" si="4"/>
        <v>16</v>
      </c>
      <c r="B26" s="70">
        <f>'Method Comparison'!B29</f>
        <v>8.01</v>
      </c>
      <c r="C26" s="70">
        <f>'Method Comparison'!C29</f>
        <v>7.88</v>
      </c>
      <c r="D26">
        <f t="shared" si="2"/>
        <v>-0.12999999999999989</v>
      </c>
      <c r="E26" s="2">
        <f t="shared" si="1"/>
        <v>3.8024999999999073E-2</v>
      </c>
      <c r="F26" s="2">
        <f t="shared" si="3"/>
        <v>2.0013157894736354E-3</v>
      </c>
      <c r="G26" s="131"/>
      <c r="H26" s="132" t="s">
        <v>22</v>
      </c>
      <c r="I26" s="132"/>
      <c r="J26" s="132" t="s">
        <v>24</v>
      </c>
      <c r="K26" s="132"/>
      <c r="L26" s="132"/>
      <c r="M26" s="133" t="s">
        <v>26</v>
      </c>
      <c r="N26" s="134"/>
      <c r="O26" s="134" t="s">
        <v>27</v>
      </c>
      <c r="P26" s="134"/>
      <c r="Q26" s="134"/>
      <c r="R26" s="77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</row>
    <row r="27" spans="1:30" ht="19" thickTop="1" x14ac:dyDescent="0.45">
      <c r="A27" s="72">
        <f t="shared" si="4"/>
        <v>17</v>
      </c>
      <c r="B27" s="70">
        <f>'Method Comparison'!B30</f>
        <v>4.5999999999999996</v>
      </c>
      <c r="C27" s="70">
        <f>'Method Comparison'!C30</f>
        <v>4.59</v>
      </c>
      <c r="D27">
        <f t="shared" si="2"/>
        <v>-9.9999999999997868E-3</v>
      </c>
      <c r="E27" s="2">
        <f t="shared" si="1"/>
        <v>5.6249999999996268E-3</v>
      </c>
      <c r="F27" s="68">
        <f t="shared" si="3"/>
        <v>2.9605263157892771E-4</v>
      </c>
      <c r="G27" s="118">
        <f t="shared" ref="G27:G32" si="5">IF(($P$8/100)*H27&gt;$O$8,($P$8/100)*H27,$O$8)</f>
        <v>0.2</v>
      </c>
      <c r="H27" s="119">
        <v>2</v>
      </c>
      <c r="I27" s="93"/>
      <c r="J27" s="120">
        <f>IF((H27*$J$36)+$J$37&gt;0,(H27*$J$36)+$J$37,"-")</f>
        <v>1.6771225717677263</v>
      </c>
      <c r="K27" s="93"/>
      <c r="L27" s="93"/>
      <c r="M27" s="121">
        <f>IF(H27&gt;0,(H27*($J$36-$L$36))+($J$37-$L$37),"-")</f>
        <v>1.4112006988375967</v>
      </c>
      <c r="N27" s="93"/>
      <c r="O27" s="117">
        <f>IF(H27&gt;0,(H27*($J$36+$L$36))+($J$37+$L$37),"-")</f>
        <v>1.9430444446978559</v>
      </c>
      <c r="P27" s="100"/>
      <c r="Q27" s="93" t="str">
        <f>IF(AND(ABS(M27-H27)&lt;G27,ABS(O27-H27)&lt;G27),"Acceptable","Unacceptable")</f>
        <v>Unacceptable</v>
      </c>
      <c r="R27" s="122"/>
      <c r="T27" s="56"/>
      <c r="AD27" s="56"/>
    </row>
    <row r="28" spans="1:30" ht="18.5" x14ac:dyDescent="0.45">
      <c r="A28" s="72">
        <f t="shared" si="4"/>
        <v>18</v>
      </c>
      <c r="B28" s="70">
        <f>'Method Comparison'!B31</f>
        <v>8.48</v>
      </c>
      <c r="C28" s="70">
        <f>'Method Comparison'!C31</f>
        <v>8.42</v>
      </c>
      <c r="D28">
        <f t="shared" si="2"/>
        <v>-6.0000000000000497E-2</v>
      </c>
      <c r="E28" s="2">
        <f t="shared" si="1"/>
        <v>1.5624999999999556E-2</v>
      </c>
      <c r="F28" s="2">
        <f t="shared" si="3"/>
        <v>8.2236842105260822E-4</v>
      </c>
      <c r="G28" s="118">
        <f t="shared" si="5"/>
        <v>0.5</v>
      </c>
      <c r="H28" s="123">
        <v>5</v>
      </c>
      <c r="I28" s="93"/>
      <c r="J28" s="120">
        <f>IF((H28*J36)+J37&gt;0,(H28*J36)+J37,"-")</f>
        <v>4.8828203417335763</v>
      </c>
      <c r="K28" s="93"/>
      <c r="L28" s="93"/>
      <c r="M28" s="121">
        <f>IF(H28&gt;0,(H28*($J$36-$L$36))+($J$37-$L$37),"-")</f>
        <v>4.5404071021190173</v>
      </c>
      <c r="N28" s="93"/>
      <c r="O28" s="117">
        <f>IF(H28&gt;0,(H28*($J$36+$L$36))+($J$37+$L$37),"-")</f>
        <v>5.2252335813481352</v>
      </c>
      <c r="P28" s="100"/>
      <c r="Q28" s="93" t="str">
        <f>IF(AND(ABS(M28-H28)&lt;G28,ABS(O28-H28)&lt;G28),"Acceptable","Unacceptable")</f>
        <v>Acceptable</v>
      </c>
      <c r="R28" s="122"/>
      <c r="T28" s="56"/>
      <c r="U28" s="4"/>
      <c r="V28" s="4"/>
      <c r="W28" s="4"/>
      <c r="X28" s="4"/>
      <c r="Y28" s="4"/>
      <c r="Z28" s="4"/>
      <c r="AA28" s="4"/>
      <c r="AB28" s="4"/>
      <c r="AC28" s="4"/>
      <c r="AD28" s="56"/>
    </row>
    <row r="29" spans="1:30" ht="18.5" x14ac:dyDescent="0.45">
      <c r="A29" s="72">
        <f t="shared" si="4"/>
        <v>19</v>
      </c>
      <c r="B29" s="70">
        <f>'Method Comparison'!B32</f>
        <v>17.899999999999999</v>
      </c>
      <c r="C29" s="70">
        <f>'Method Comparison'!C32</f>
        <v>18.07</v>
      </c>
      <c r="D29">
        <f t="shared" si="2"/>
        <v>0.17000000000000171</v>
      </c>
      <c r="E29" s="2">
        <f t="shared" si="1"/>
        <v>1.1025000000000836E-2</v>
      </c>
      <c r="F29" s="2">
        <f t="shared" si="3"/>
        <v>5.8026315789478082E-4</v>
      </c>
      <c r="G29" s="118">
        <f t="shared" si="5"/>
        <v>1</v>
      </c>
      <c r="H29" s="123">
        <v>10</v>
      </c>
      <c r="I29" s="93"/>
      <c r="J29" s="120">
        <f>IF((H29*J36)+J37&gt;0,(H29*J36)+J37,"-")</f>
        <v>10.225649958343325</v>
      </c>
      <c r="K29" s="93"/>
      <c r="L29" s="93"/>
      <c r="M29" s="121">
        <f>IF(H29&gt;0,(H29*($J$36-$L$36))+($J$37-$L$37),"-")</f>
        <v>9.7557511075880523</v>
      </c>
      <c r="N29" s="93"/>
      <c r="O29" s="117">
        <f>IF(H29&gt;0,(H29*($J$36+$L$36))+($J$37+$L$37),"-")</f>
        <v>10.6955488090986</v>
      </c>
      <c r="P29" s="100"/>
      <c r="Q29" s="93" t="str">
        <f>IF(AND(ABS(M29-H29)&lt;G29,ABS(O29-H29)&lt;G29),"Acceptable","Unacceptable")</f>
        <v>Acceptable</v>
      </c>
      <c r="R29" s="122"/>
      <c r="T29" s="56"/>
      <c r="U29" s="57"/>
      <c r="V29" s="57"/>
      <c r="W29" s="4"/>
      <c r="X29" s="4"/>
      <c r="Y29" s="4"/>
      <c r="Z29" s="4"/>
      <c r="AA29" s="4"/>
      <c r="AB29" s="4"/>
      <c r="AC29" s="4"/>
      <c r="AD29" s="56"/>
    </row>
    <row r="30" spans="1:30" ht="19" thickBot="1" x14ac:dyDescent="0.5">
      <c r="A30" s="73">
        <f t="shared" si="4"/>
        <v>20</v>
      </c>
      <c r="B30" s="71">
        <f>'Method Comparison'!B33</f>
        <v>16.399999999999999</v>
      </c>
      <c r="C30" s="71">
        <f>'Method Comparison'!C33</f>
        <v>18.100000000000001</v>
      </c>
      <c r="D30" s="15">
        <f t="shared" si="2"/>
        <v>1.7000000000000028</v>
      </c>
      <c r="E30" s="2">
        <f t="shared" si="1"/>
        <v>2.6732250000000168</v>
      </c>
      <c r="F30" s="2">
        <f t="shared" si="3"/>
        <v>0.14069605263157983</v>
      </c>
      <c r="G30" s="118">
        <f t="shared" si="5"/>
        <v>1.5</v>
      </c>
      <c r="H30" s="123">
        <v>15</v>
      </c>
      <c r="I30" s="93"/>
      <c r="J30" s="120">
        <f>IF((H30*J36)+J37&gt;0,(H30*J36)+J37,"-")</f>
        <v>15.568479574953077</v>
      </c>
      <c r="K30" s="93"/>
      <c r="L30" s="93"/>
      <c r="M30" s="121">
        <f>IF(H30&gt;0,(H30*($J$36-$L$36))+($J$37-$L$37),"-")</f>
        <v>14.971095113057087</v>
      </c>
      <c r="N30" s="93"/>
      <c r="O30" s="117">
        <f>IF(H30&gt;0,(H30*($J$36+$L$36))+($J$37+$L$37),"-")</f>
        <v>16.165864036849065</v>
      </c>
      <c r="P30" s="100"/>
      <c r="Q30" s="93" t="str">
        <f>IF(AND(ABS(M30-H30)&lt;G30,ABS(O30-H30)&lt;G30),"Acceptable","Unacceptable")</f>
        <v>Acceptable</v>
      </c>
      <c r="R30" s="122"/>
      <c r="T30" s="56"/>
      <c r="U30" s="55"/>
      <c r="V30" s="55"/>
      <c r="W30" s="4"/>
      <c r="X30" s="4"/>
      <c r="Y30" s="4"/>
      <c r="Z30" s="4"/>
      <c r="AA30" s="4"/>
      <c r="AB30" s="4"/>
      <c r="AC30" s="4"/>
      <c r="AD30" s="56"/>
    </row>
    <row r="31" spans="1:30" ht="19" thickTop="1" x14ac:dyDescent="0.45">
      <c r="A31" s="72" t="s">
        <v>4</v>
      </c>
      <c r="B31">
        <f>AVERAGE(B11:B30)</f>
        <v>7.6570000000000009</v>
      </c>
      <c r="C31">
        <f>AVERAGE(C11:C30)</f>
        <v>7.7219999999999986</v>
      </c>
      <c r="D31">
        <f>AVERAGE(D11:D30)</f>
        <v>6.5000000000000252E-2</v>
      </c>
      <c r="E31" s="2">
        <f t="shared" si="1"/>
        <v>6.37945034778828E-30</v>
      </c>
      <c r="F31" s="2">
        <f>SUM(F11:F30)</f>
        <v>0.21456315789473737</v>
      </c>
      <c r="G31" s="118">
        <f t="shared" si="5"/>
        <v>2</v>
      </c>
      <c r="H31" s="119">
        <v>20</v>
      </c>
      <c r="I31" s="93"/>
      <c r="J31" s="120">
        <f>IF((H31*J36)+J37&gt;0,(H31*J36)+J37,"-")</f>
        <v>20.911309191562825</v>
      </c>
      <c r="K31" s="93"/>
      <c r="L31" s="93"/>
      <c r="M31" s="121">
        <f>IF(H31&gt;0,(H31*($J$36-$L$36))+($J$37-$L$37),"-")</f>
        <v>20.186439118526124</v>
      </c>
      <c r="N31" s="93"/>
      <c r="O31" s="117">
        <f>IF(H31&gt;0,(H31*($J$36+$L$36))+($J$37+$L$37),"-")</f>
        <v>21.63617926459953</v>
      </c>
      <c r="P31" s="100"/>
      <c r="Q31" s="93" t="str">
        <f>IF(AND(ABS(M31-H31)&lt;G31,ABS(O31-H31)&lt;G31),"Acceptable","Unacceptable")</f>
        <v>Acceptable</v>
      </c>
      <c r="R31" s="122"/>
      <c r="T31" s="56"/>
      <c r="U31" s="55"/>
      <c r="V31" s="55"/>
      <c r="W31" s="4"/>
      <c r="X31" s="4"/>
      <c r="Y31" s="4"/>
      <c r="Z31" s="4"/>
      <c r="AA31" s="4"/>
      <c r="AB31" s="4"/>
      <c r="AC31" s="4"/>
      <c r="AD31" s="56"/>
    </row>
    <row r="32" spans="1:30" ht="18.5" x14ac:dyDescent="0.45">
      <c r="A32" s="72" t="s">
        <v>5</v>
      </c>
      <c r="B32">
        <f>STDEV(B10:B30)</f>
        <v>3.6167128139993858</v>
      </c>
      <c r="C32" s="69">
        <f>STDEV(C11:C30)</f>
        <v>3.8844488872805045</v>
      </c>
      <c r="D32">
        <f>STDEV(D11:D30)</f>
        <v>0.46320962629757312</v>
      </c>
      <c r="G32" s="124">
        <f t="shared" si="5"/>
        <v>0.2</v>
      </c>
      <c r="H32" s="97"/>
      <c r="I32" s="112"/>
      <c r="J32" s="125"/>
      <c r="K32" s="112"/>
      <c r="L32" s="112"/>
      <c r="M32" s="126"/>
      <c r="N32" s="112"/>
      <c r="O32" s="127"/>
      <c r="P32" s="112"/>
      <c r="Q32" s="112"/>
      <c r="R32" s="113"/>
      <c r="T32" s="56"/>
      <c r="U32" s="55"/>
      <c r="V32" s="55"/>
      <c r="W32" s="4"/>
      <c r="X32" s="4"/>
      <c r="Y32" s="4"/>
      <c r="Z32" s="4"/>
      <c r="AA32" s="4"/>
      <c r="AB32" s="4"/>
      <c r="AC32" s="4"/>
      <c r="AD32" s="56"/>
    </row>
    <row r="33" spans="1:30" x14ac:dyDescent="0.35">
      <c r="A33" s="72" t="s">
        <v>16</v>
      </c>
      <c r="D33">
        <f>C31-B31</f>
        <v>6.4999999999997726E-2</v>
      </c>
      <c r="E33" s="2">
        <f>E31/19</f>
        <v>3.3576054462043581E-31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56"/>
      <c r="U33" s="55"/>
      <c r="V33" s="55"/>
      <c r="W33" s="4"/>
      <c r="X33" s="4"/>
      <c r="Y33" s="4"/>
      <c r="Z33" s="4"/>
      <c r="AA33" s="4"/>
      <c r="AB33" s="4"/>
      <c r="AC33" s="4"/>
      <c r="AD33" s="56"/>
    </row>
    <row r="34" spans="1:30" ht="18.5" x14ac:dyDescent="0.45">
      <c r="D34" s="14">
        <f>ABS(D33)</f>
        <v>6.4999999999997726E-2</v>
      </c>
      <c r="G34" s="4"/>
      <c r="H34" s="100"/>
      <c r="I34" s="100"/>
      <c r="J34" s="100"/>
      <c r="K34" s="100"/>
      <c r="L34" s="100"/>
      <c r="M34" s="93"/>
      <c r="P34" s="4"/>
      <c r="T34" s="56"/>
      <c r="U34" s="55"/>
      <c r="V34" s="55"/>
      <c r="W34" s="4"/>
      <c r="X34" s="4"/>
      <c r="Y34" s="4"/>
      <c r="Z34" s="4"/>
      <c r="AA34" s="4"/>
      <c r="AB34" s="4"/>
      <c r="AC34" s="4"/>
      <c r="AD34" s="56"/>
    </row>
    <row r="35" spans="1:30" ht="18.5" x14ac:dyDescent="0.45">
      <c r="H35" s="101"/>
      <c r="I35" s="151" t="s">
        <v>13</v>
      </c>
      <c r="J35" s="152"/>
      <c r="K35" s="152"/>
      <c r="L35" s="153"/>
      <c r="M35" s="93"/>
      <c r="T35" s="56"/>
      <c r="U35" s="4"/>
      <c r="V35" s="4"/>
      <c r="W35" s="4"/>
      <c r="X35" s="4"/>
      <c r="Y35" s="4"/>
      <c r="Z35" s="4"/>
      <c r="AA35" s="4"/>
      <c r="AB35" s="4"/>
      <c r="AC35" s="4"/>
      <c r="AD35" s="56"/>
    </row>
    <row r="36" spans="1:30" ht="18.5" x14ac:dyDescent="0.45">
      <c r="A36" s="13"/>
      <c r="B36" s="13"/>
      <c r="C36" s="13"/>
      <c r="D36" s="13"/>
      <c r="E36" s="13"/>
      <c r="F36" s="13"/>
      <c r="G36" s="13"/>
      <c r="H36" s="102"/>
      <c r="I36" s="103" t="s">
        <v>11</v>
      </c>
      <c r="J36" s="104">
        <f>SLOPE(C11:C30,B11:B30)</f>
        <v>1.06856592332195</v>
      </c>
      <c r="K36" s="105" t="s">
        <v>19</v>
      </c>
      <c r="L36" s="106">
        <f>N37</f>
        <v>2.5497122228143064E-2</v>
      </c>
      <c r="M36" s="93"/>
      <c r="N36" s="14">
        <f t="array" ref="N36:O40">LINEST(C11:C30,B11:B30,TRUE,TRUE)</f>
        <v>1.0685659233219502</v>
      </c>
      <c r="O36" s="14">
        <v>-0.46000927487617549</v>
      </c>
      <c r="T36" s="56"/>
      <c r="U36" s="4"/>
      <c r="V36" s="4"/>
      <c r="W36" s="4"/>
      <c r="X36" s="4"/>
      <c r="Y36" s="4"/>
      <c r="Z36" s="4"/>
      <c r="AA36" s="4"/>
      <c r="AB36" s="4"/>
      <c r="AC36" s="4"/>
      <c r="AD36" s="56"/>
    </row>
    <row r="37" spans="1:30" ht="18.5" x14ac:dyDescent="0.45">
      <c r="A37" s="13"/>
      <c r="B37" s="14" t="s">
        <v>33</v>
      </c>
      <c r="C37" s="14">
        <f>INDEX(LINEST(C11:C30,B11:B30,1,1),1,2)</f>
        <v>-0.46000927487617549</v>
      </c>
      <c r="D37" s="13"/>
      <c r="E37" s="13"/>
      <c r="F37" s="13"/>
      <c r="G37" s="13"/>
      <c r="H37" s="102"/>
      <c r="I37" s="107" t="s">
        <v>12</v>
      </c>
      <c r="J37" s="108">
        <f>INTERCEPT(C11:C30,B11:B30)</f>
        <v>-0.46000927487617371</v>
      </c>
      <c r="K37" s="105" t="s">
        <v>19</v>
      </c>
      <c r="L37" s="109">
        <f>O37</f>
        <v>0.21492762847384358</v>
      </c>
      <c r="M37" s="93"/>
      <c r="N37" s="14">
        <v>2.5497122228143064E-2</v>
      </c>
      <c r="O37" s="14">
        <v>0.21492762847384358</v>
      </c>
      <c r="T37" s="56"/>
      <c r="U37" s="58"/>
      <c r="V37" s="58"/>
      <c r="W37" s="58"/>
      <c r="X37" s="58"/>
      <c r="Y37" s="58"/>
      <c r="Z37" s="58"/>
      <c r="AA37" s="4"/>
      <c r="AB37" s="4"/>
      <c r="AC37" s="4"/>
      <c r="AD37" s="56"/>
    </row>
    <row r="38" spans="1:30" ht="18.5" x14ac:dyDescent="0.45">
      <c r="A38" s="13"/>
      <c r="B38" s="14">
        <v>0</v>
      </c>
      <c r="C38" s="14">
        <v>0</v>
      </c>
      <c r="D38" s="13"/>
      <c r="E38" s="13"/>
      <c r="F38" s="13"/>
      <c r="G38" s="13"/>
      <c r="H38" s="100"/>
      <c r="I38" s="110" t="s">
        <v>14</v>
      </c>
      <c r="J38" s="111">
        <f>STEYX(C11:C30,B11:B30)</f>
        <v>0.40195921668852547</v>
      </c>
      <c r="K38" s="112"/>
      <c r="L38" s="113"/>
      <c r="M38" s="93"/>
      <c r="N38" s="14">
        <v>0.98985565375352125</v>
      </c>
      <c r="O38" s="135">
        <v>0.40195921668852286</v>
      </c>
      <c r="T38" s="56"/>
      <c r="U38" s="55"/>
      <c r="V38" s="55"/>
      <c r="W38" s="55"/>
      <c r="X38" s="55"/>
      <c r="Y38" s="55"/>
      <c r="Z38" s="55"/>
      <c r="AA38" s="4"/>
      <c r="AB38" s="4"/>
      <c r="AC38" s="4"/>
      <c r="AD38" s="56"/>
    </row>
    <row r="39" spans="1:30" ht="18.5" x14ac:dyDescent="0.45">
      <c r="A39" s="13"/>
      <c r="B39" s="14">
        <f>IF(B11*($P$8/100)&gt;$O$8,B11+(B11*($P$8/100)),B11+$O$8)</f>
        <v>2.97</v>
      </c>
      <c r="C39" s="14">
        <f>IF($B11*($P$8/100)&gt;$O$8,$B11-($B11*($P$8/100)),$B11-$O$8)</f>
        <v>2.4300000000000002</v>
      </c>
      <c r="D39" s="13"/>
      <c r="E39" s="13"/>
      <c r="F39" s="13"/>
      <c r="G39" s="13"/>
      <c r="H39" s="93"/>
      <c r="I39" s="114" t="s">
        <v>32</v>
      </c>
      <c r="J39" s="115">
        <f>INDEX(LINEST(C11:C30,B11:B30,1,1),2,1)</f>
        <v>2.5497122228143064E-2</v>
      </c>
      <c r="K39" s="93"/>
      <c r="L39" s="93"/>
      <c r="M39" s="93"/>
      <c r="N39" s="14">
        <v>1756.3873841301433</v>
      </c>
      <c r="O39" s="14">
        <v>18</v>
      </c>
      <c r="T39" s="56"/>
      <c r="U39" s="55"/>
      <c r="V39" s="55"/>
      <c r="W39" s="55"/>
      <c r="X39" s="55"/>
      <c r="Y39" s="55"/>
      <c r="Z39" s="55"/>
      <c r="AA39" s="4"/>
      <c r="AB39" s="4"/>
      <c r="AC39" s="4"/>
      <c r="AD39" s="56"/>
    </row>
    <row r="40" spans="1:30" ht="18.5" x14ac:dyDescent="0.45">
      <c r="A40" s="13"/>
      <c r="B40" s="14">
        <f t="shared" ref="B40:B58" si="6">IF(B12*($P$8/100)&gt;$O$8,B12+(B12*($P$8/100)),B12+$O$8)</f>
        <v>8.6240000000000006</v>
      </c>
      <c r="C40" s="14">
        <f t="shared" ref="C40:C58" si="7">IF($B12*($P$8/100)&gt;$O$8,$B12-($B12*($P$8/100)),$B12-$O$8)</f>
        <v>7.056</v>
      </c>
      <c r="D40" s="13"/>
      <c r="E40" s="13"/>
      <c r="F40" s="13"/>
      <c r="G40" s="13"/>
      <c r="H40" s="148" t="s">
        <v>17</v>
      </c>
      <c r="I40" s="148"/>
      <c r="J40" s="115">
        <f>CORREL(B11:B30,C11:C30)</f>
        <v>0.99491489774428477</v>
      </c>
      <c r="K40" s="93"/>
      <c r="L40" s="93"/>
      <c r="M40" s="93"/>
      <c r="N40" s="14">
        <v>283.78163818614479</v>
      </c>
      <c r="O40" s="14">
        <v>2.9082818138553153</v>
      </c>
      <c r="T40" s="56"/>
      <c r="U40" s="55"/>
      <c r="V40" s="55"/>
      <c r="W40" s="55"/>
      <c r="X40" s="55"/>
      <c r="Y40" s="55"/>
      <c r="Z40" s="55"/>
      <c r="AA40" s="4"/>
      <c r="AB40" s="4"/>
      <c r="AC40" s="4"/>
      <c r="AD40" s="56"/>
    </row>
    <row r="41" spans="1:30" ht="18.5" x14ac:dyDescent="0.45">
      <c r="A41" s="13"/>
      <c r="B41" s="14">
        <f t="shared" si="6"/>
        <v>7.931</v>
      </c>
      <c r="C41" s="14">
        <f t="shared" si="7"/>
        <v>6.4889999999999999</v>
      </c>
      <c r="D41" s="13"/>
      <c r="E41" s="13"/>
      <c r="F41" s="13"/>
      <c r="G41" s="13"/>
      <c r="H41" s="148" t="s">
        <v>18</v>
      </c>
      <c r="I41" s="148"/>
      <c r="J41" s="116">
        <f>D33</f>
        <v>6.4999999999997726E-2</v>
      </c>
      <c r="K41" s="93"/>
      <c r="L41" s="93"/>
      <c r="M41" s="93"/>
      <c r="T41" s="56"/>
      <c r="U41" s="4"/>
      <c r="V41" s="4"/>
      <c r="W41" s="4"/>
      <c r="X41" s="4"/>
      <c r="Y41" s="4"/>
      <c r="Z41" s="4"/>
      <c r="AA41" s="4"/>
      <c r="AB41" s="4"/>
      <c r="AC41" s="4"/>
      <c r="AD41" s="56"/>
    </row>
    <row r="42" spans="1:30" ht="18.5" x14ac:dyDescent="0.45">
      <c r="A42" s="13"/>
      <c r="B42" s="14">
        <f t="shared" si="6"/>
        <v>8.0960000000000001</v>
      </c>
      <c r="C42" s="14">
        <f t="shared" si="7"/>
        <v>6.6240000000000006</v>
      </c>
      <c r="D42" s="13"/>
      <c r="E42" s="13"/>
      <c r="F42" s="13"/>
      <c r="G42" s="13"/>
      <c r="H42" s="148" t="s">
        <v>78</v>
      </c>
      <c r="I42" s="148"/>
      <c r="J42" s="116">
        <f>B31</f>
        <v>7.6570000000000009</v>
      </c>
      <c r="K42" s="105" t="s">
        <v>19</v>
      </c>
      <c r="L42" s="117">
        <f>B32</f>
        <v>3.6167128139993858</v>
      </c>
      <c r="M42" s="93"/>
      <c r="T42" s="56"/>
      <c r="U42" s="58"/>
      <c r="V42" s="58"/>
      <c r="W42" s="58"/>
      <c r="X42" s="58"/>
      <c r="Y42" s="58"/>
      <c r="Z42" s="58"/>
      <c r="AA42" s="58"/>
      <c r="AB42" s="58"/>
      <c r="AC42" s="58"/>
      <c r="AD42" s="56"/>
    </row>
    <row r="43" spans="1:30" ht="18.5" x14ac:dyDescent="0.45">
      <c r="A43" s="13"/>
      <c r="B43" s="14">
        <f t="shared" si="6"/>
        <v>7.8539999999999992</v>
      </c>
      <c r="C43" s="14">
        <f t="shared" si="7"/>
        <v>6.4260000000000002</v>
      </c>
      <c r="D43" s="13"/>
      <c r="E43" s="13"/>
      <c r="F43" s="13"/>
      <c r="G43" s="13"/>
      <c r="H43" s="148" t="s">
        <v>79</v>
      </c>
      <c r="I43" s="148"/>
      <c r="J43" s="116">
        <f>C31</f>
        <v>7.7219999999999986</v>
      </c>
      <c r="K43" s="105" t="s">
        <v>19</v>
      </c>
      <c r="L43" s="117">
        <f>C32</f>
        <v>3.8844488872805045</v>
      </c>
      <c r="M43" s="93"/>
      <c r="T43" s="56"/>
      <c r="U43" s="55"/>
      <c r="V43" s="55"/>
      <c r="W43" s="55"/>
      <c r="X43" s="55"/>
      <c r="Y43" s="55"/>
      <c r="Z43" s="55"/>
      <c r="AA43" s="55"/>
      <c r="AB43" s="55"/>
      <c r="AC43" s="55"/>
      <c r="AD43" s="56"/>
    </row>
    <row r="44" spans="1:30" ht="18.5" x14ac:dyDescent="0.45">
      <c r="A44" s="13"/>
      <c r="B44" s="14">
        <f t="shared" si="6"/>
        <v>7.524</v>
      </c>
      <c r="C44" s="14">
        <f t="shared" si="7"/>
        <v>6.1559999999999997</v>
      </c>
      <c r="D44" s="13"/>
      <c r="E44" s="13"/>
      <c r="F44" s="13"/>
      <c r="G44" s="13"/>
      <c r="H44" s="148" t="s">
        <v>20</v>
      </c>
      <c r="I44" s="148"/>
      <c r="J44" s="116">
        <f>SQRT(E33)</f>
        <v>5.7944848314620326E-16</v>
      </c>
      <c r="K44" s="93"/>
      <c r="L44" s="93"/>
      <c r="M44" s="93"/>
      <c r="T44" s="56"/>
      <c r="U44" s="55"/>
      <c r="V44" s="55"/>
      <c r="W44" s="55"/>
      <c r="X44" s="55"/>
      <c r="Y44" s="55"/>
      <c r="Z44" s="55"/>
      <c r="AA44" s="55"/>
      <c r="AB44" s="55"/>
      <c r="AC44" s="55"/>
      <c r="AD44" s="56"/>
    </row>
    <row r="45" spans="1:30" ht="18.5" x14ac:dyDescent="0.45">
      <c r="A45" s="13"/>
      <c r="B45" s="14">
        <f t="shared" si="6"/>
        <v>4.3120000000000003</v>
      </c>
      <c r="C45" s="14">
        <f t="shared" si="7"/>
        <v>3.528</v>
      </c>
      <c r="D45" s="13"/>
      <c r="E45" s="13"/>
      <c r="F45" s="13"/>
      <c r="G45" s="13"/>
      <c r="H45" s="93"/>
      <c r="I45" s="93"/>
      <c r="J45" s="93"/>
      <c r="K45" s="93"/>
      <c r="L45" s="93"/>
      <c r="M45" s="93"/>
      <c r="T45" s="56"/>
      <c r="U45" s="4"/>
      <c r="V45" s="4"/>
      <c r="W45" s="4"/>
      <c r="X45" s="4"/>
      <c r="Y45" s="4"/>
      <c r="Z45" s="4"/>
      <c r="AA45" s="4"/>
      <c r="AB45" s="4"/>
      <c r="AC45" s="4"/>
      <c r="AD45" s="56"/>
    </row>
    <row r="46" spans="1:30" x14ac:dyDescent="0.35">
      <c r="A46" s="13"/>
      <c r="B46" s="14">
        <f t="shared" si="6"/>
        <v>9.9879999999999995</v>
      </c>
      <c r="C46" s="14">
        <f t="shared" si="7"/>
        <v>8.1720000000000006</v>
      </c>
      <c r="D46" s="13"/>
      <c r="E46" s="13"/>
      <c r="F46" s="56"/>
      <c r="G46" s="56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56"/>
      <c r="AD46" s="56"/>
    </row>
    <row r="47" spans="1:30" x14ac:dyDescent="0.35">
      <c r="A47" s="13"/>
      <c r="B47" s="14">
        <f t="shared" si="6"/>
        <v>5.5990000000000002</v>
      </c>
      <c r="C47" s="14">
        <f t="shared" si="7"/>
        <v>4.5809999999999995</v>
      </c>
      <c r="D47" s="13"/>
      <c r="E47" s="13"/>
      <c r="F47" s="56"/>
      <c r="G47" s="56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56"/>
      <c r="AD47" s="56"/>
    </row>
    <row r="48" spans="1:30" x14ac:dyDescent="0.35">
      <c r="A48" s="13"/>
      <c r="B48" s="14">
        <f t="shared" si="6"/>
        <v>5.9180000000000001</v>
      </c>
      <c r="C48" s="14">
        <f t="shared" si="7"/>
        <v>4.8419999999999996</v>
      </c>
      <c r="D48" s="13"/>
      <c r="E48" s="13"/>
      <c r="F48" s="56"/>
      <c r="G48" s="56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</row>
    <row r="49" spans="1:30" x14ac:dyDescent="0.35">
      <c r="A49" s="13"/>
      <c r="B49" s="14">
        <f t="shared" si="6"/>
        <v>8.91</v>
      </c>
      <c r="C49" s="14">
        <f t="shared" si="7"/>
        <v>7.2899999999999991</v>
      </c>
      <c r="D49" s="13"/>
      <c r="E49" s="13"/>
      <c r="F49" s="56"/>
      <c r="G49" s="56"/>
      <c r="H49" s="57"/>
      <c r="I49" s="57"/>
      <c r="J49" s="4"/>
      <c r="K49" s="4"/>
      <c r="L49" s="4"/>
      <c r="M49" s="4"/>
      <c r="N49" s="4"/>
      <c r="O49" s="4"/>
      <c r="P49" s="4"/>
      <c r="Q49" s="4"/>
      <c r="R49" s="4"/>
      <c r="S49" s="4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</row>
    <row r="50" spans="1:30" x14ac:dyDescent="0.35">
      <c r="A50" s="13"/>
      <c r="B50" s="14">
        <f t="shared" si="6"/>
        <v>7.7330000000000005</v>
      </c>
      <c r="C50" s="14">
        <f t="shared" si="7"/>
        <v>6.327</v>
      </c>
      <c r="D50" s="13"/>
      <c r="E50" s="13"/>
      <c r="F50" s="56"/>
      <c r="G50" s="56"/>
      <c r="H50" s="55"/>
      <c r="I50" s="55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x14ac:dyDescent="0.35">
      <c r="A51" s="13"/>
      <c r="B51" s="14">
        <f t="shared" si="6"/>
        <v>7.3810000000000002</v>
      </c>
      <c r="C51" s="14">
        <f t="shared" si="7"/>
        <v>6.0389999999999997</v>
      </c>
      <c r="D51" s="13"/>
      <c r="E51" s="13"/>
      <c r="F51" s="56"/>
      <c r="G51" s="56"/>
      <c r="H51" s="55"/>
      <c r="I51" s="55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x14ac:dyDescent="0.35">
      <c r="A52" s="13"/>
      <c r="B52" s="14">
        <f t="shared" si="6"/>
        <v>7.2380000000000004</v>
      </c>
      <c r="C52" s="14">
        <f t="shared" si="7"/>
        <v>5.9219999999999997</v>
      </c>
      <c r="D52" s="13"/>
      <c r="E52" s="13"/>
      <c r="F52" s="56"/>
      <c r="G52" s="56"/>
      <c r="H52" s="55"/>
      <c r="I52" s="55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x14ac:dyDescent="0.35">
      <c r="A53" s="13"/>
      <c r="B53" s="14">
        <f t="shared" si="6"/>
        <v>7.4469999999999992</v>
      </c>
      <c r="C53" s="14">
        <f t="shared" si="7"/>
        <v>6.093</v>
      </c>
      <c r="D53" s="13"/>
      <c r="E53" s="13"/>
      <c r="F53" s="56"/>
      <c r="G53" s="56"/>
      <c r="H53" s="55"/>
      <c r="I53" s="55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x14ac:dyDescent="0.35">
      <c r="A54" s="13"/>
      <c r="B54" s="14">
        <f t="shared" si="6"/>
        <v>8.8109999999999999</v>
      </c>
      <c r="C54" s="14">
        <f t="shared" si="7"/>
        <v>7.2089999999999996</v>
      </c>
      <c r="D54" s="13"/>
      <c r="E54" s="13"/>
      <c r="F54" s="56"/>
      <c r="G54" s="56"/>
      <c r="H54" s="55"/>
      <c r="I54" s="55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x14ac:dyDescent="0.35">
      <c r="A55" s="13"/>
      <c r="B55" s="14">
        <f t="shared" si="6"/>
        <v>5.0599999999999996</v>
      </c>
      <c r="C55" s="14">
        <f t="shared" si="7"/>
        <v>4.1399999999999997</v>
      </c>
      <c r="D55" s="13"/>
      <c r="E55" s="13"/>
      <c r="F55" s="56"/>
      <c r="G55" s="56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35">
      <c r="A56" s="13"/>
      <c r="B56" s="14">
        <f t="shared" si="6"/>
        <v>9.3280000000000012</v>
      </c>
      <c r="C56" s="14">
        <f t="shared" si="7"/>
        <v>7.6320000000000006</v>
      </c>
      <c r="D56" s="13"/>
      <c r="E56" s="13"/>
      <c r="F56" s="56"/>
      <c r="G56" s="56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x14ac:dyDescent="0.35">
      <c r="A57" s="13"/>
      <c r="B57" s="14">
        <f t="shared" si="6"/>
        <v>19.689999999999998</v>
      </c>
      <c r="C57" s="14">
        <f t="shared" si="7"/>
        <v>16.11</v>
      </c>
      <c r="D57" s="13"/>
      <c r="E57" s="13"/>
      <c r="F57" s="56"/>
      <c r="G57" s="56"/>
      <c r="H57" s="58"/>
      <c r="I57" s="58"/>
      <c r="J57" s="58"/>
      <c r="K57" s="58"/>
      <c r="L57" s="58"/>
      <c r="M57" s="58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x14ac:dyDescent="0.35">
      <c r="A58" s="13"/>
      <c r="B58" s="14">
        <f t="shared" si="6"/>
        <v>18.04</v>
      </c>
      <c r="C58" s="14">
        <f t="shared" si="7"/>
        <v>14.759999999999998</v>
      </c>
      <c r="D58" s="13"/>
      <c r="E58" s="13"/>
      <c r="F58" s="56"/>
      <c r="G58" s="56"/>
      <c r="H58" s="55"/>
      <c r="I58" s="55"/>
      <c r="J58" s="55"/>
      <c r="K58" s="55"/>
      <c r="L58" s="55"/>
      <c r="M58" s="55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35">
      <c r="A59" s="13"/>
      <c r="B59" s="13"/>
      <c r="C59" s="13"/>
      <c r="D59" s="13"/>
      <c r="E59" s="13"/>
      <c r="F59" s="56"/>
      <c r="G59" s="56"/>
      <c r="H59" s="55"/>
      <c r="I59" s="55"/>
      <c r="J59" s="55"/>
      <c r="K59" s="55"/>
      <c r="L59" s="55"/>
      <c r="M59" s="55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x14ac:dyDescent="0.35">
      <c r="A60" s="13"/>
      <c r="B60" s="13"/>
      <c r="C60" s="13"/>
      <c r="D60" s="13"/>
      <c r="E60" s="13"/>
      <c r="F60" s="56"/>
      <c r="G60" s="56"/>
      <c r="H60" s="55"/>
      <c r="I60" s="55"/>
      <c r="J60" s="55"/>
      <c r="K60" s="55"/>
      <c r="L60" s="55"/>
      <c r="M60" s="55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x14ac:dyDescent="0.35">
      <c r="A61" s="13"/>
      <c r="B61" s="13"/>
      <c r="C61" s="13"/>
      <c r="D61" s="13"/>
      <c r="E61" s="13"/>
      <c r="F61" s="5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x14ac:dyDescent="0.35">
      <c r="A62" s="13"/>
      <c r="B62" s="13"/>
      <c r="C62" s="13"/>
      <c r="D62" s="13"/>
      <c r="E62" s="13"/>
      <c r="F62" s="56"/>
      <c r="G62" s="4"/>
      <c r="H62" s="58"/>
      <c r="I62" s="58"/>
      <c r="J62" s="58"/>
      <c r="K62" s="58"/>
      <c r="L62" s="58"/>
      <c r="M62" s="58"/>
      <c r="N62" s="58"/>
      <c r="O62" s="58"/>
      <c r="P62" s="58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x14ac:dyDescent="0.35">
      <c r="A63" s="13"/>
      <c r="B63" s="13"/>
      <c r="C63" s="13"/>
      <c r="D63" s="13"/>
      <c r="E63" s="13"/>
      <c r="F63" s="56"/>
      <c r="G63" s="4"/>
      <c r="H63" s="55"/>
      <c r="I63" s="55"/>
      <c r="J63" s="55"/>
      <c r="K63" s="55"/>
      <c r="L63" s="55"/>
      <c r="M63" s="55"/>
      <c r="N63" s="55"/>
      <c r="O63" s="55"/>
      <c r="P63" s="55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x14ac:dyDescent="0.35">
      <c r="A64" s="13"/>
      <c r="B64" s="13"/>
      <c r="C64" s="13"/>
      <c r="D64" s="13"/>
      <c r="E64" s="13"/>
      <c r="F64" s="56"/>
      <c r="G64" s="4"/>
      <c r="H64" s="55"/>
      <c r="I64" s="55"/>
      <c r="J64" s="55"/>
      <c r="K64" s="55"/>
      <c r="L64" s="55"/>
      <c r="M64" s="55"/>
      <c r="N64" s="55"/>
      <c r="O64" s="55"/>
      <c r="P64" s="55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x14ac:dyDescent="0.35">
      <c r="A65" s="13"/>
      <c r="B65" s="13"/>
      <c r="C65" s="13"/>
      <c r="D65" s="13"/>
      <c r="E65" s="13"/>
      <c r="F65" s="5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x14ac:dyDescent="0.35">
      <c r="A66" s="13"/>
      <c r="B66" s="13"/>
      <c r="C66" s="13"/>
      <c r="D66" s="13"/>
      <c r="E66" s="13"/>
      <c r="F66" s="5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x14ac:dyDescent="0.35">
      <c r="A67" s="13"/>
      <c r="B67" s="13"/>
      <c r="C67" s="13"/>
      <c r="D67" s="13"/>
      <c r="E67" s="13"/>
      <c r="F67" s="5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x14ac:dyDescent="0.35">
      <c r="A68" s="13"/>
      <c r="B68" s="13"/>
      <c r="C68" s="13"/>
      <c r="D68" s="13"/>
      <c r="E68" s="13"/>
      <c r="F68" s="5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x14ac:dyDescent="0.35"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x14ac:dyDescent="0.35">
      <c r="F70" s="4"/>
      <c r="G70" s="4"/>
      <c r="H70" s="58"/>
      <c r="I70" s="58"/>
      <c r="J70" s="58"/>
      <c r="K70" s="58"/>
      <c r="L70" s="4"/>
      <c r="M70" s="58"/>
      <c r="N70" s="58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x14ac:dyDescent="0.35">
      <c r="F71" s="4"/>
      <c r="G71" s="4"/>
      <c r="H71" s="55"/>
      <c r="I71" s="55"/>
      <c r="J71" s="55"/>
      <c r="K71" s="55"/>
      <c r="L71" s="4"/>
      <c r="M71" s="55"/>
      <c r="N71" s="55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x14ac:dyDescent="0.35">
      <c r="F72" s="4"/>
      <c r="G72" s="4"/>
      <c r="H72" s="55"/>
      <c r="I72" s="55"/>
      <c r="J72" s="55"/>
      <c r="K72" s="55"/>
      <c r="L72" s="4"/>
      <c r="M72" s="55"/>
      <c r="N72" s="55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x14ac:dyDescent="0.35">
      <c r="F73" s="4"/>
      <c r="G73" s="4"/>
      <c r="H73" s="55"/>
      <c r="I73" s="55"/>
      <c r="J73" s="55"/>
      <c r="K73" s="55"/>
      <c r="L73" s="4"/>
      <c r="M73" s="55"/>
      <c r="N73" s="55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x14ac:dyDescent="0.35">
      <c r="F74" s="4"/>
      <c r="G74" s="4"/>
      <c r="H74" s="55"/>
      <c r="I74" s="55"/>
      <c r="J74" s="55"/>
      <c r="K74" s="55"/>
      <c r="L74" s="4"/>
      <c r="M74" s="55"/>
      <c r="N74" s="55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x14ac:dyDescent="0.35">
      <c r="F75" s="4"/>
      <c r="G75" s="4"/>
      <c r="H75" s="55"/>
      <c r="I75" s="55"/>
      <c r="J75" s="55"/>
      <c r="K75" s="55"/>
      <c r="L75" s="4"/>
      <c r="M75" s="55"/>
      <c r="N75" s="55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x14ac:dyDescent="0.35">
      <c r="F76" s="4"/>
      <c r="G76" s="4"/>
      <c r="H76" s="55"/>
      <c r="I76" s="55"/>
      <c r="J76" s="55"/>
      <c r="K76" s="55"/>
      <c r="L76" s="4"/>
      <c r="M76" s="55"/>
      <c r="N76" s="55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x14ac:dyDescent="0.35">
      <c r="F77" s="4"/>
      <c r="G77" s="4"/>
      <c r="H77" s="55"/>
      <c r="I77" s="55"/>
      <c r="J77" s="55"/>
      <c r="K77" s="55"/>
      <c r="L77" s="4"/>
      <c r="M77" s="55"/>
      <c r="N77" s="55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x14ac:dyDescent="0.35">
      <c r="F78" s="4"/>
      <c r="G78" s="4"/>
      <c r="H78" s="55"/>
      <c r="I78" s="55"/>
      <c r="J78" s="55"/>
      <c r="K78" s="55"/>
      <c r="L78" s="4"/>
      <c r="M78" s="55"/>
      <c r="N78" s="55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x14ac:dyDescent="0.35">
      <c r="F79" s="4"/>
      <c r="G79" s="4"/>
      <c r="H79" s="55"/>
      <c r="I79" s="55"/>
      <c r="J79" s="55"/>
      <c r="K79" s="55"/>
      <c r="L79" s="4"/>
      <c r="M79" s="55"/>
      <c r="N79" s="55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x14ac:dyDescent="0.35">
      <c r="F80" s="4"/>
      <c r="G80" s="4"/>
      <c r="H80" s="55"/>
      <c r="I80" s="55"/>
      <c r="J80" s="55"/>
      <c r="K80" s="55"/>
      <c r="L80" s="4"/>
      <c r="M80" s="55"/>
      <c r="N80" s="55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6:30" x14ac:dyDescent="0.35">
      <c r="F81" s="4"/>
      <c r="G81" s="4"/>
      <c r="H81" s="55"/>
      <c r="I81" s="55"/>
      <c r="J81" s="55"/>
      <c r="K81" s="55"/>
      <c r="L81" s="4"/>
      <c r="M81" s="55"/>
      <c r="N81" s="55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6:30" x14ac:dyDescent="0.35">
      <c r="F82" s="4"/>
      <c r="G82" s="4"/>
      <c r="H82" s="55"/>
      <c r="I82" s="55"/>
      <c r="J82" s="55"/>
      <c r="K82" s="55"/>
      <c r="L82" s="4"/>
      <c r="M82" s="55"/>
      <c r="N82" s="55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6:30" x14ac:dyDescent="0.35">
      <c r="F83" s="4"/>
      <c r="G83" s="4"/>
      <c r="H83" s="55"/>
      <c r="I83" s="55"/>
      <c r="J83" s="55"/>
      <c r="K83" s="55"/>
      <c r="L83" s="4"/>
      <c r="M83" s="55"/>
      <c r="N83" s="55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6:30" x14ac:dyDescent="0.35">
      <c r="F84" s="4"/>
      <c r="G84" s="4"/>
      <c r="H84" s="55"/>
      <c r="I84" s="55"/>
      <c r="J84" s="55"/>
      <c r="K84" s="55"/>
      <c r="L84" s="4"/>
      <c r="M84" s="55"/>
      <c r="N84" s="55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6:30" x14ac:dyDescent="0.35">
      <c r="F85" s="4"/>
      <c r="G85" s="4"/>
      <c r="H85" s="55"/>
      <c r="I85" s="55"/>
      <c r="J85" s="55"/>
      <c r="K85" s="55"/>
      <c r="L85" s="4"/>
      <c r="M85" s="55"/>
      <c r="N85" s="55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6:30" x14ac:dyDescent="0.35">
      <c r="F86" s="4"/>
      <c r="G86" s="4"/>
      <c r="H86" s="55"/>
      <c r="I86" s="55"/>
      <c r="J86" s="55"/>
      <c r="K86" s="55"/>
      <c r="L86" s="4"/>
      <c r="M86" s="55"/>
      <c r="N86" s="55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6:30" x14ac:dyDescent="0.35">
      <c r="F87" s="4"/>
      <c r="G87" s="4"/>
      <c r="H87" s="55"/>
      <c r="I87" s="55"/>
      <c r="J87" s="55"/>
      <c r="K87" s="55"/>
      <c r="L87" s="4"/>
      <c r="M87" s="55"/>
      <c r="N87" s="55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6:30" x14ac:dyDescent="0.35">
      <c r="F88" s="4"/>
      <c r="G88" s="4"/>
      <c r="H88" s="55"/>
      <c r="I88" s="55"/>
      <c r="J88" s="55"/>
      <c r="K88" s="55"/>
      <c r="L88" s="4"/>
      <c r="M88" s="55"/>
      <c r="N88" s="55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6:30" x14ac:dyDescent="0.35">
      <c r="F89" s="4"/>
      <c r="G89" s="4"/>
      <c r="H89" s="55"/>
      <c r="I89" s="55"/>
      <c r="J89" s="55"/>
      <c r="K89" s="55"/>
      <c r="L89" s="4"/>
      <c r="M89" s="55"/>
      <c r="N89" s="55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6:30" x14ac:dyDescent="0.35">
      <c r="F90" s="4"/>
      <c r="G90" s="4"/>
      <c r="H90" s="55"/>
      <c r="I90" s="55"/>
      <c r="J90" s="55"/>
      <c r="K90" s="55"/>
      <c r="L90" s="4"/>
      <c r="M90" s="55"/>
      <c r="N90" s="55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6:30" x14ac:dyDescent="0.35"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6:30" x14ac:dyDescent="0.35"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</sheetData>
  <sheetProtection selectLockedCells="1"/>
  <mergeCells count="14">
    <mergeCell ref="J6:N6"/>
    <mergeCell ref="J5:N5"/>
    <mergeCell ref="P5:Q5"/>
    <mergeCell ref="H44:I44"/>
    <mergeCell ref="G2:O3"/>
    <mergeCell ref="M25:O25"/>
    <mergeCell ref="H40:I40"/>
    <mergeCell ref="H41:I41"/>
    <mergeCell ref="H42:I42"/>
    <mergeCell ref="H43:I43"/>
    <mergeCell ref="I35:L35"/>
    <mergeCell ref="G5:I5"/>
    <mergeCell ref="H6:I6"/>
    <mergeCell ref="J7:N7"/>
  </mergeCells>
  <phoneticPr fontId="7" type="noConversion"/>
  <conditionalFormatting sqref="Q27:Q32">
    <cfRule type="cellIs" dxfId="7" priority="1" stopIfTrue="1" operator="equal">
      <formula>"Unacceptable"</formula>
    </cfRule>
    <cfRule type="cellIs" dxfId="6" priority="2" stopIfTrue="1" operator="equal">
      <formula>"Acceptable"</formula>
    </cfRule>
  </conditionalFormatting>
  <pageMargins left="0.2" right="0.2" top="0.25" bottom="0.5" header="0.05" footer="0.05"/>
  <pageSetup scale="65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zoomScaleNormal="100" workbookViewId="0">
      <selection activeCell="F6" sqref="F6"/>
    </sheetView>
  </sheetViews>
  <sheetFormatPr defaultRowHeight="14.5" x14ac:dyDescent="0.35"/>
  <cols>
    <col min="1" max="1" width="10.26953125" customWidth="1"/>
    <col min="2" max="5" width="9.54296875" bestFit="1" customWidth="1"/>
    <col min="6" max="6" width="11.7265625" bestFit="1" customWidth="1"/>
    <col min="7" max="7" width="21.453125" customWidth="1"/>
    <col min="8" max="8" width="17.1796875" customWidth="1"/>
    <col min="9" max="9" width="12.7265625" customWidth="1"/>
    <col min="10" max="10" width="13.453125" customWidth="1"/>
    <col min="11" max="11" width="12.81640625" customWidth="1"/>
    <col min="12" max="12" width="14" customWidth="1"/>
    <col min="13" max="13" width="14.54296875" customWidth="1"/>
    <col min="14" max="14" width="9.54296875" bestFit="1" customWidth="1"/>
    <col min="15" max="15" width="10.54296875" bestFit="1" customWidth="1"/>
    <col min="16" max="16" width="9.54296875" bestFit="1" customWidth="1"/>
  </cols>
  <sheetData>
    <row r="1" spans="1:17" ht="16" x14ac:dyDescent="0.4">
      <c r="I1" s="51">
        <f>H12</f>
        <v>5</v>
      </c>
      <c r="J1" s="37">
        <f>H13</f>
        <v>5</v>
      </c>
      <c r="K1" s="37">
        <f>H14</f>
        <v>10</v>
      </c>
      <c r="L1" s="37">
        <f>H15</f>
        <v>15</v>
      </c>
      <c r="M1" s="37">
        <f>H16</f>
        <v>15</v>
      </c>
      <c r="N1" s="14"/>
    </row>
    <row r="2" spans="1:17" x14ac:dyDescent="0.35">
      <c r="A2" s="154" t="s">
        <v>34</v>
      </c>
      <c r="B2" s="155"/>
      <c r="C2" s="156"/>
      <c r="D2" s="157" t="s">
        <v>35</v>
      </c>
      <c r="E2" s="158"/>
      <c r="F2" s="159"/>
      <c r="I2" s="37">
        <f>VLOOKUP(I1,E4:F7,2,FALSE)</f>
        <v>0.8</v>
      </c>
      <c r="J2" s="37">
        <f>VLOOKUP(J1,E3:F7,2,FALSE)</f>
        <v>0.8</v>
      </c>
      <c r="K2" s="37">
        <f>VLOOKUP(K1,E4:F7,2,FALSE)</f>
        <v>0.5</v>
      </c>
      <c r="L2" s="37">
        <f>VLOOKUP(L1,E3:F7,2,FALSE)</f>
        <v>1</v>
      </c>
      <c r="M2" s="37">
        <f>VLOOKUP(M1,E3:F7,2,FALSE)</f>
        <v>1</v>
      </c>
      <c r="N2" s="14"/>
    </row>
    <row r="3" spans="1:17" x14ac:dyDescent="0.35">
      <c r="A3" s="17" t="s">
        <v>36</v>
      </c>
      <c r="B3" s="53" t="str">
        <f>'Alt Method Comparison'!J8</f>
        <v>ug/dL</v>
      </c>
      <c r="C3" s="18"/>
      <c r="D3" s="19"/>
      <c r="E3" s="20" t="s">
        <v>4</v>
      </c>
      <c r="F3" s="21" t="s">
        <v>37</v>
      </c>
      <c r="H3" s="22" t="s">
        <v>38</v>
      </c>
      <c r="I3" s="23">
        <v>1</v>
      </c>
      <c r="J3" s="23">
        <v>2</v>
      </c>
      <c r="K3" s="23">
        <v>3</v>
      </c>
      <c r="L3" s="23">
        <v>4</v>
      </c>
      <c r="M3" s="23">
        <v>5</v>
      </c>
    </row>
    <row r="4" spans="1:17" x14ac:dyDescent="0.35">
      <c r="A4" s="17" t="s">
        <v>11</v>
      </c>
      <c r="B4" s="60">
        <f>'Alt Method Comparison'!J36</f>
        <v>1.06856592332195</v>
      </c>
      <c r="C4" s="18"/>
      <c r="D4" s="19">
        <v>1</v>
      </c>
      <c r="E4" s="24">
        <v>5</v>
      </c>
      <c r="F4" s="24">
        <v>0.8</v>
      </c>
      <c r="G4" s="50">
        <f>SLOPE(F4:F5,E4:E5)</f>
        <v>-6.0000000000000012E-2</v>
      </c>
      <c r="H4" s="23" t="s">
        <v>39</v>
      </c>
      <c r="I4" s="52">
        <f>'Alt Method Comparison'!H27</f>
        <v>2</v>
      </c>
      <c r="J4" s="52">
        <f>'Alt Method Comparison'!H28</f>
        <v>5</v>
      </c>
      <c r="K4" s="52">
        <f>'Alt Method Comparison'!H29</f>
        <v>10</v>
      </c>
      <c r="L4" s="52">
        <f>'Alt Method Comparison'!H30</f>
        <v>15</v>
      </c>
      <c r="M4" s="52">
        <f>'Alt Method Comparison'!H31</f>
        <v>20</v>
      </c>
    </row>
    <row r="5" spans="1:17" x14ac:dyDescent="0.35">
      <c r="A5" s="17" t="s">
        <v>12</v>
      </c>
      <c r="B5" s="54">
        <f>'Alt Method Comparison'!J37</f>
        <v>-0.46000927487617371</v>
      </c>
      <c r="C5" s="18"/>
      <c r="D5" s="19">
        <v>2</v>
      </c>
      <c r="E5" s="24">
        <v>10</v>
      </c>
      <c r="F5" s="24">
        <v>0.5</v>
      </c>
      <c r="G5" s="14"/>
      <c r="H5" s="23" t="s">
        <v>40</v>
      </c>
      <c r="I5" s="25">
        <f>I4*B4+B5</f>
        <v>1.6771225717677263</v>
      </c>
      <c r="J5" s="25">
        <f>(J4*B4)+B5</f>
        <v>4.8828203417335763</v>
      </c>
      <c r="K5" s="25">
        <f>(K4*B4)+B5</f>
        <v>10.225649958343325</v>
      </c>
      <c r="L5" s="25">
        <f>(L4*B4)+B5</f>
        <v>15.568479574953077</v>
      </c>
      <c r="M5" s="26">
        <f>IF(M4&gt;0,(M4*B4)+B5,"-")</f>
        <v>20.911309191562825</v>
      </c>
    </row>
    <row r="6" spans="1:17" x14ac:dyDescent="0.35">
      <c r="A6" s="27"/>
      <c r="B6" s="28"/>
      <c r="C6" s="29"/>
      <c r="D6" s="27">
        <v>3</v>
      </c>
      <c r="E6" s="24">
        <v>15</v>
      </c>
      <c r="F6" s="24">
        <v>1</v>
      </c>
      <c r="G6" s="50">
        <f>SLOPE(F5:F6,E5:E6)</f>
        <v>0.1</v>
      </c>
      <c r="H6" s="23" t="s">
        <v>41</v>
      </c>
      <c r="I6" s="30">
        <f>IF(C10&gt;((D10/100)*I4),C10,(D10/100)*I4)</f>
        <v>0.2</v>
      </c>
      <c r="J6" s="30">
        <f>IF(C10&gt;((D10/100)*J4),C10,(D10/100)*J4)</f>
        <v>0.5</v>
      </c>
      <c r="K6" s="30">
        <f>IF(C10&gt;((D10/100)*K4),C10,(D10/100)*K4)</f>
        <v>1</v>
      </c>
      <c r="L6" s="30">
        <f>IF(C10&gt;((D10/100)*L4),C10,(D10/100)*L4)</f>
        <v>1.5</v>
      </c>
      <c r="M6" s="31">
        <f>IF(M4&lt;=0,"-",IF(C10&gt;(D10/100)*M4,C10,IF(C10&lt;(D10/100)*M4,(D10/100)*M4)))</f>
        <v>2</v>
      </c>
    </row>
    <row r="7" spans="1:17" x14ac:dyDescent="0.35">
      <c r="A7" s="4"/>
      <c r="B7" s="4"/>
      <c r="C7" s="4"/>
      <c r="D7" s="32"/>
      <c r="E7" s="33"/>
      <c r="F7" s="33"/>
      <c r="G7" s="34"/>
      <c r="H7" s="23" t="s">
        <v>42</v>
      </c>
      <c r="I7" s="35">
        <f>ABS(I5-I4)</f>
        <v>0.32287742823227372</v>
      </c>
      <c r="J7" s="35">
        <f>ABS(J5-J4)</f>
        <v>0.11717965826642374</v>
      </c>
      <c r="K7" s="35">
        <f>ABS(K5-K4)</f>
        <v>0.22564995834332535</v>
      </c>
      <c r="L7" s="35">
        <f>ABS(L5-L4)</f>
        <v>0.5684795749530771</v>
      </c>
      <c r="M7" s="35">
        <f>ABS(M5-M4)</f>
        <v>0.9113091915628253</v>
      </c>
    </row>
    <row r="8" spans="1:17" x14ac:dyDescent="0.35">
      <c r="B8" s="4"/>
      <c r="H8" s="23" t="s">
        <v>43</v>
      </c>
      <c r="I8" s="35">
        <f>IF(ISERROR(P12),I4*(I2/100),J4(P12/100))</f>
        <v>1.6E-2</v>
      </c>
      <c r="J8" s="35">
        <f>IF(ISERROR(P13),J4*(J2/100),J4*(P13/100))</f>
        <v>0.04</v>
      </c>
      <c r="K8" s="35">
        <f>IF(ISERROR(P14),K4*(K2/100),K4*(P14/100))</f>
        <v>0.05</v>
      </c>
      <c r="L8" s="35">
        <f>IF(ISERROR(P15),L4*(L2/100),L4*(P15/100))</f>
        <v>0.15</v>
      </c>
      <c r="M8" s="35">
        <f>IF(ISERROR(P16),M4*(M2/100),M4*(P16/100))</f>
        <v>0.2</v>
      </c>
    </row>
    <row r="9" spans="1:17" x14ac:dyDescent="0.35">
      <c r="C9" s="1" t="s">
        <v>30</v>
      </c>
      <c r="D9" s="1" t="s">
        <v>44</v>
      </c>
      <c r="H9" s="23" t="s">
        <v>45</v>
      </c>
      <c r="I9" s="25">
        <f>(I6-I7)/I8</f>
        <v>-7.6798392645171072</v>
      </c>
      <c r="J9" s="25">
        <f>(J6-J7)/J8</f>
        <v>9.5705085433394057</v>
      </c>
      <c r="K9" s="25">
        <f>(K6-K7)/K8</f>
        <v>15.487000833133493</v>
      </c>
      <c r="L9" s="25">
        <f>(L6-L7)/L8</f>
        <v>6.2101361669794866</v>
      </c>
      <c r="M9" s="25">
        <f>(M6-M7)/M8</f>
        <v>5.4434540421858735</v>
      </c>
    </row>
    <row r="10" spans="1:17" x14ac:dyDescent="0.35">
      <c r="A10" s="160" t="s">
        <v>46</v>
      </c>
      <c r="B10" s="161"/>
      <c r="C10" s="52">
        <f>'Alt Method Comparison'!O8</f>
        <v>0.2</v>
      </c>
      <c r="D10" s="52">
        <f>'Alt Method Comparison'!P8</f>
        <v>10</v>
      </c>
      <c r="I10" s="36" t="str">
        <f>IF(I9&gt;=6,"Six Sigma",IF(I9&gt;=4,"Good",IF(I9&gt;=3,"Fair",IF(I9&gt;=2,"Marginal",IF(I9&lt;2,"Unacceptable")))))</f>
        <v>Unacceptable</v>
      </c>
      <c r="J10" s="36" t="str">
        <f>IF(J9&gt;=6,"Six Sigma",IF(J9&gt;=4,"Good",IF(J9&gt;=3,"Fair",IF(J9&gt;=2,"Marginal",IF(J9&lt;2,"Unacceptable")))))</f>
        <v>Six Sigma</v>
      </c>
      <c r="K10" s="36" t="str">
        <f>IF(K9&gt;=6,"Six Sigma",IF(K9&gt;=4,"Good",IF(K9&gt;=3,"Fair",IF(K9&gt;=2,"Marginal",IF(K9&lt;2,"Unacceptable")))))</f>
        <v>Six Sigma</v>
      </c>
      <c r="L10" s="36" t="str">
        <f>IF(L9&gt;=6,"Six Sigma",IF(L9&gt;=4,"Good",IF(L9&gt;=3,"Fair",IF(L9&gt;=2,"Marginal",IF(L9&lt;2,"Unacceptable")))))</f>
        <v>Six Sigma</v>
      </c>
      <c r="M10" s="36" t="str">
        <f>IF(M9&gt;=6,"Six Sigma",IF(M9&gt;=4,"Good",IF(M9&gt;=3,"Fair",IF(M9&gt;=2,"Marginal",IF(M9&lt;2,"Unacceptable")))))</f>
        <v>Good</v>
      </c>
    </row>
    <row r="11" spans="1:17" x14ac:dyDescent="0.35">
      <c r="D11" s="14"/>
      <c r="E11" s="37"/>
      <c r="F11" s="38" t="s">
        <v>27</v>
      </c>
      <c r="G11" s="38" t="s">
        <v>26</v>
      </c>
      <c r="H11" s="38" t="s">
        <v>47</v>
      </c>
      <c r="I11" s="38" t="s">
        <v>48</v>
      </c>
      <c r="J11" s="38" t="s">
        <v>49</v>
      </c>
      <c r="K11" s="39" t="s">
        <v>50</v>
      </c>
      <c r="L11" s="14" t="s">
        <v>51</v>
      </c>
      <c r="M11" s="14" t="s">
        <v>52</v>
      </c>
      <c r="N11" s="14" t="s">
        <v>53</v>
      </c>
      <c r="O11" s="14" t="s">
        <v>54</v>
      </c>
      <c r="P11" s="14" t="s">
        <v>55</v>
      </c>
      <c r="Q11" s="14"/>
    </row>
    <row r="12" spans="1:17" ht="16" x14ac:dyDescent="0.4">
      <c r="A12" s="40"/>
      <c r="B12" s="4"/>
      <c r="C12" s="4"/>
      <c r="D12" s="41"/>
      <c r="E12" s="42">
        <v>1</v>
      </c>
      <c r="F12" s="43">
        <f t="array" ref="F12">INDEX(precmeans,MATCH(MIN(IF(precmeans-I4&gt;=0,precmeans,FALSE)),IF(precmeans-I4&gt;=0,precmeans,FALSE),0))</f>
        <v>5</v>
      </c>
      <c r="G12" s="43">
        <f t="array" ref="G12">INDEX(CMTable,MATCH(MAX(IF(precmeans-I4&lt;=0,precmeans,FALSE)),IF(precmeans-I4&lt;=0,precmeans,FALSE),0))</f>
        <v>0</v>
      </c>
      <c r="H12" s="38">
        <f>IF(AND(G12&gt;0,G12-I4&lt;I4-F12),G12,F12)</f>
        <v>5</v>
      </c>
      <c r="I12" s="38">
        <f>IF(ISERROR(F12),"ERROR",ABS(F12-I4))</f>
        <v>3</v>
      </c>
      <c r="J12" s="38">
        <f>ABS(G12-I4)</f>
        <v>2</v>
      </c>
      <c r="K12" s="38">
        <f>IF(H12=G12,J12,I12)</f>
        <v>3</v>
      </c>
      <c r="L12" s="44" t="str">
        <f>IF(G12&gt;0,K12/ABS(F12-G12),"&lt;")</f>
        <v>&lt;</v>
      </c>
      <c r="M12" s="38" t="e">
        <f>IF(H12=G12,VLOOKUP(F12,E4:F6,2,FALSE),VLOOKUP(G12,E4:F6,2,FALSE))</f>
        <v>#N/A</v>
      </c>
      <c r="N12" s="39" t="e">
        <f>ABS(I2-M12)</f>
        <v>#N/A</v>
      </c>
      <c r="O12" s="14" t="e">
        <f>L12*N12</f>
        <v>#VALUE!</v>
      </c>
      <c r="P12" s="45" t="e">
        <f>IF(I2&gt;M12,I2-O12,I2+O12)</f>
        <v>#N/A</v>
      </c>
      <c r="Q12" s="14"/>
    </row>
    <row r="13" spans="1:17" ht="16" x14ac:dyDescent="0.4">
      <c r="D13" s="14"/>
      <c r="E13" s="37">
        <v>2</v>
      </c>
      <c r="F13" s="43">
        <f t="array" ref="F13">INDEX(precmeans,MATCH(MIN(IF(precmeans-J4&gt;=0,precmeans,FALSE)),IF(precmeans-J4&gt;=0,precmeans,FALSE),0))</f>
        <v>5</v>
      </c>
      <c r="G13" s="38">
        <f t="array" ref="G13">INDEX(precmeans,MATCH(MAX(IF(precmeans-K4&lt;=0,precmeans,FALSE)),IF(precmeans-K4&lt;=0,precmeans,FALSE),0))</f>
        <v>10</v>
      </c>
      <c r="H13" s="38">
        <f>IF(AND(G13&gt;0,J13&lt;I13),G13,F13)</f>
        <v>5</v>
      </c>
      <c r="I13" s="38">
        <f>IF(ISERROR(F13), "ERROR", ABS(F13-J4))</f>
        <v>0</v>
      </c>
      <c r="J13" s="38">
        <f>ABS(G13-J4)</f>
        <v>5</v>
      </c>
      <c r="K13" s="38">
        <f>IF(H13=G13,J13,I13)</f>
        <v>0</v>
      </c>
      <c r="L13" s="44">
        <f>K13/ABS(F13-G13)</f>
        <v>0</v>
      </c>
      <c r="M13" s="38">
        <f>IF(H13=G13,VLOOKUP(F13,E4:F6,2,FALSE),VLOOKUP(G13,E4:F6,2,FALSE))</f>
        <v>0.5</v>
      </c>
      <c r="N13" s="39">
        <f>ABS(J2-M13)</f>
        <v>0.30000000000000004</v>
      </c>
      <c r="O13" s="14">
        <f>L13*N13</f>
        <v>0</v>
      </c>
      <c r="P13" s="45">
        <f>IF(J2&gt;M13,J2-O13,J2+O13)</f>
        <v>0.8</v>
      </c>
      <c r="Q13" s="14"/>
    </row>
    <row r="14" spans="1:17" x14ac:dyDescent="0.35">
      <c r="D14" s="14"/>
      <c r="E14" s="37">
        <v>3</v>
      </c>
      <c r="F14" s="38">
        <f t="array" ref="F14">INDEX(precmeans,MATCH(MIN(IF(precmeans-K4&gt;=0,precmeans,FALSE)),IF(precmeans-K4&gt;=0,precmeans,FALSE),0))</f>
        <v>10</v>
      </c>
      <c r="G14" s="38">
        <f t="array" ref="G14">INDEX(precmeans,MATCH(MAX(IF(precmeans-K4&lt;=0,precmeans,FALSE)),IF(precmeans-K4&lt;=0,precmeans,FALSE),0))</f>
        <v>10</v>
      </c>
      <c r="H14" s="38">
        <f>IF(AND(G14&gt;0,J14&lt;I14),G14,F14)</f>
        <v>10</v>
      </c>
      <c r="I14" s="38">
        <f>IF(ISERROR(F14), "ERROR", ABS(F14-K4))</f>
        <v>0</v>
      </c>
      <c r="J14" s="38">
        <f>ABS(G14-K4)</f>
        <v>0</v>
      </c>
      <c r="K14" s="38">
        <f>IF(H14=G14,J14,I14)</f>
        <v>0</v>
      </c>
      <c r="L14" s="44" t="e">
        <f>K14/ABS(F14-G14)</f>
        <v>#DIV/0!</v>
      </c>
      <c r="M14" s="38">
        <f>IF(H14=G14,VLOOKUP(F14,E3:F6,2,FALSE),VLOOKUP(G14,E3:F6,2,FALSE))</f>
        <v>0.5</v>
      </c>
      <c r="N14" s="39">
        <f>ABS(K2-M14)</f>
        <v>0</v>
      </c>
      <c r="O14" s="14" t="e">
        <f>L14*N14</f>
        <v>#DIV/0!</v>
      </c>
      <c r="P14" s="45" t="e">
        <f>IF(K2&gt;M14,K2-O14,K2+O14)</f>
        <v>#DIV/0!</v>
      </c>
      <c r="Q14" s="14"/>
    </row>
    <row r="15" spans="1:17" x14ac:dyDescent="0.35">
      <c r="D15" s="14"/>
      <c r="E15" s="37">
        <v>4</v>
      </c>
      <c r="F15" s="38">
        <f t="array" ref="F15">INDEX(precmeans,MATCH(MIN(IF(precmeans-L4&gt;=0,precmeans,FALSE)),IF(precmeans-L4&gt;=0,precmeans,FALSE),0))</f>
        <v>15</v>
      </c>
      <c r="G15" s="38">
        <f t="array" ref="G15">INDEX(precmeans,MATCH(MAX(IF(precmeans-L4&lt;=0,precmeans,FALSE)),IF(precmeans-L4&lt;=0,precmeans,FALSE),0))</f>
        <v>15</v>
      </c>
      <c r="H15" s="38">
        <f>IF(AND(G15&gt;0,J15&lt;I15),G15,F15)</f>
        <v>15</v>
      </c>
      <c r="I15" s="38">
        <f>IF(ISERROR(F15), "ERROR", ABS(F15-L4))</f>
        <v>0</v>
      </c>
      <c r="J15" s="38">
        <f>ABS(L4-G15)</f>
        <v>0</v>
      </c>
      <c r="K15" s="38">
        <f>IF(H15=G15,J15,I15)</f>
        <v>0</v>
      </c>
      <c r="L15" s="44" t="e">
        <f>IF(ISERROR(F15),"&gt;",K15/ABS(F15-G15))</f>
        <v>#DIV/0!</v>
      </c>
      <c r="M15" s="38">
        <f>IF(H15=G15,VLOOKUP(F15,E3:F6,2,FALSE),VLOOKUP(G15,E3:F6,2,FALSE))</f>
        <v>1</v>
      </c>
      <c r="N15" s="39">
        <f>ABS(L2-M15)</f>
        <v>0</v>
      </c>
      <c r="O15" s="14" t="e">
        <f>L15*N15</f>
        <v>#DIV/0!</v>
      </c>
      <c r="P15" s="45" t="e">
        <f>IF(L2&gt;M15,L2-O15,L2+O15)</f>
        <v>#DIV/0!</v>
      </c>
      <c r="Q15" s="14"/>
    </row>
    <row r="16" spans="1:17" x14ac:dyDescent="0.35">
      <c r="D16" s="14"/>
      <c r="E16" s="37">
        <v>5</v>
      </c>
      <c r="F16" s="38" t="e">
        <f t="array" ref="F16">INDEX(precmeans,MATCH(MIN(IF(precmeans-M4&gt;=0,precmeans,FALSE)),IF(precmeans-M4&gt;=0,precmeans,FALSE),0))</f>
        <v>#N/A</v>
      </c>
      <c r="G16" s="38">
        <f t="array" ref="G16">INDEX(precmeans,MATCH(MAX(IF(precmeans-M4&lt;=0,precmeans,FALSE)),IF(precmeans-M4&lt;=0,precmeans,FALSE),0))</f>
        <v>15</v>
      </c>
      <c r="H16" s="38">
        <f>IF(AND(G16&gt;0,J16&lt;I16),G16,F16)</f>
        <v>15</v>
      </c>
      <c r="I16" s="38" t="str">
        <f>IF(ISERROR(F16), "ERROR", ABS(F16-M4))</f>
        <v>ERROR</v>
      </c>
      <c r="J16" s="38">
        <f>ABS(M4-G16)</f>
        <v>5</v>
      </c>
      <c r="K16" s="38">
        <f>IF(H16=G16,J16,I16)</f>
        <v>5</v>
      </c>
      <c r="L16" s="44" t="str">
        <f>IF(ISERROR(F16),"&gt;",K16/ABS(F16-G16))</f>
        <v>&gt;</v>
      </c>
      <c r="M16" s="38" t="e">
        <f>IF(H16=G16,VLOOKUP(F16,E3:F6,2,FALSE),VLOOKUP(G16,E3:F6,2,FALSE))</f>
        <v>#N/A</v>
      </c>
      <c r="N16" s="39" t="e">
        <f>ABS(M2-M16)</f>
        <v>#N/A</v>
      </c>
      <c r="O16" s="14" t="e">
        <f>L16*N16</f>
        <v>#VALUE!</v>
      </c>
      <c r="P16" s="45" t="e">
        <f>IF(M2&gt;M16,M2-O16,M2+O16)</f>
        <v>#N/A</v>
      </c>
      <c r="Q16" s="14"/>
    </row>
    <row r="17" spans="4:17" x14ac:dyDescent="0.35">
      <c r="D17" s="14"/>
      <c r="E17" s="37"/>
      <c r="F17" s="37"/>
      <c r="G17" s="37"/>
      <c r="H17" s="37"/>
      <c r="I17" s="14"/>
      <c r="J17" s="14"/>
      <c r="K17" s="37"/>
      <c r="L17" s="37"/>
      <c r="M17" s="37"/>
      <c r="N17" s="14"/>
      <c r="O17" s="14"/>
      <c r="P17" s="14"/>
      <c r="Q17" s="14"/>
    </row>
    <row r="18" spans="4:17" x14ac:dyDescent="0.35">
      <c r="D18" s="14"/>
      <c r="E18" s="37"/>
      <c r="F18" s="37"/>
      <c r="G18" s="37"/>
      <c r="H18" s="16"/>
      <c r="I18" s="37"/>
      <c r="J18" s="37"/>
      <c r="K18" s="37"/>
      <c r="L18" s="37"/>
      <c r="M18" s="37"/>
      <c r="N18" s="14"/>
      <c r="O18" s="13"/>
      <c r="P18" s="13"/>
      <c r="Q18" s="14"/>
    </row>
    <row r="19" spans="4:17" x14ac:dyDescent="0.35">
      <c r="D19" s="14"/>
      <c r="E19" s="37"/>
      <c r="F19" s="37"/>
      <c r="G19" s="37"/>
      <c r="H19" s="13"/>
      <c r="I19" s="37"/>
      <c r="J19" s="37"/>
      <c r="K19" s="37"/>
      <c r="L19" s="37"/>
      <c r="M19" s="37"/>
      <c r="N19" s="14"/>
      <c r="O19" s="13"/>
      <c r="P19" s="13"/>
      <c r="Q19" s="14"/>
    </row>
    <row r="20" spans="4:17" x14ac:dyDescent="0.35">
      <c r="D20" s="14"/>
      <c r="E20" s="37"/>
      <c r="F20" s="37"/>
      <c r="G20" s="37"/>
      <c r="H20" s="16" t="s">
        <v>56</v>
      </c>
      <c r="I20" s="46">
        <f>I7/I6</f>
        <v>1.6143871411613686</v>
      </c>
      <c r="J20" s="46">
        <f>J7/J6</f>
        <v>0.23435931653284747</v>
      </c>
      <c r="K20" s="46">
        <f>K7/K6</f>
        <v>0.22564995834332535</v>
      </c>
      <c r="L20" s="46">
        <f>L7/L6</f>
        <v>0.37898638330205142</v>
      </c>
      <c r="M20" s="46">
        <f>M7/M6</f>
        <v>0.45565459578141265</v>
      </c>
      <c r="N20" s="14"/>
      <c r="O20" s="13"/>
      <c r="P20" s="13"/>
      <c r="Q20" s="14"/>
    </row>
    <row r="21" spans="4:17" x14ac:dyDescent="0.35">
      <c r="D21" s="14"/>
      <c r="E21" s="14"/>
      <c r="F21" s="14"/>
      <c r="G21" s="14"/>
      <c r="H21" s="16" t="s">
        <v>57</v>
      </c>
      <c r="I21" s="46">
        <f>I8/I6</f>
        <v>0.08</v>
      </c>
      <c r="J21" s="46">
        <f>J8/J6</f>
        <v>0.08</v>
      </c>
      <c r="K21" s="46">
        <f>K8/K6</f>
        <v>0.05</v>
      </c>
      <c r="L21" s="46">
        <f>L8/L6</f>
        <v>9.9999999999999992E-2</v>
      </c>
      <c r="M21" s="46">
        <f>M8/M6</f>
        <v>0.1</v>
      </c>
      <c r="N21" s="14"/>
      <c r="O21" s="13"/>
      <c r="P21" s="13"/>
      <c r="Q21" s="14"/>
    </row>
    <row r="22" spans="4:17" x14ac:dyDescent="0.35">
      <c r="E22" s="14"/>
      <c r="F22" s="14"/>
      <c r="G22" s="14"/>
      <c r="H22" s="13"/>
      <c r="I22" s="14"/>
      <c r="J22" s="14"/>
      <c r="K22" s="14"/>
      <c r="L22" s="14"/>
      <c r="M22" s="14"/>
      <c r="N22" s="14"/>
      <c r="O22" s="13"/>
      <c r="P22" s="13"/>
      <c r="Q22" s="14"/>
    </row>
    <row r="23" spans="4:17" x14ac:dyDescent="0.35"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4:17" x14ac:dyDescent="0.35">
      <c r="H24" s="13"/>
      <c r="I24" s="13"/>
      <c r="J24" s="13"/>
      <c r="K24" s="13"/>
      <c r="L24" s="13"/>
      <c r="M24" s="13"/>
      <c r="N24" s="13"/>
      <c r="O24" s="13"/>
      <c r="P24" s="13"/>
    </row>
  </sheetData>
  <sheetProtection password="DE59" sheet="1" objects="1" scenarios="1" selectLockedCells="1"/>
  <mergeCells count="3">
    <mergeCell ref="A2:C2"/>
    <mergeCell ref="D2:F2"/>
    <mergeCell ref="A10:B10"/>
  </mergeCells>
  <conditionalFormatting sqref="I10:M10">
    <cfRule type="containsText" dxfId="5" priority="2" stopIfTrue="1" operator="containsText" text="Unacceptable">
      <formula>NOT(ISERROR(SEARCH("Unacceptable",I10)))</formula>
    </cfRule>
    <cfRule type="containsText" dxfId="4" priority="3" stopIfTrue="1" operator="containsText" text="Marginal">
      <formula>NOT(ISERROR(SEARCH("Marginal",I10)))</formula>
    </cfRule>
    <cfRule type="containsText" dxfId="3" priority="4" stopIfTrue="1" operator="containsText" text="Fair">
      <formula>NOT(ISERROR(SEARCH("Fair",I10)))</formula>
    </cfRule>
    <cfRule type="containsText" dxfId="2" priority="5" stopIfTrue="1" operator="containsText" text="Good">
      <formula>NOT(ISERROR(SEARCH("Good",I10)))</formula>
    </cfRule>
    <cfRule type="containsText" dxfId="1" priority="6" stopIfTrue="1" operator="containsText" text="Six">
      <formula>NOT(ISERROR(SEARCH("Six",I10)))</formula>
    </cfRule>
  </conditionalFormatting>
  <conditionalFormatting sqref="M7:M10">
    <cfRule type="expression" dxfId="0" priority="1" stopIfTrue="1">
      <formula>ISERROR(M7)</formula>
    </cfRule>
  </conditionalFormatting>
  <pageMargins left="0.2" right="0.2" top="1" bottom="0.75" header="0.3" footer="0.3"/>
  <pageSetup scale="75" orientation="landscape" horizontalDpi="1200" verticalDpi="1200" r:id="rId1"/>
  <headerFooter>
    <oddHeader>&amp;C&amp;"-,Bold"&amp;14Six Sigma Metrics&amp;"-,Regular"&amp;11
Site:                                                    Instrument:
Date:                                               Analyte: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Method Comparison</vt:lpstr>
      <vt:lpstr>Alt Method Comparison</vt:lpstr>
      <vt:lpstr>Sigma Metric</vt:lpstr>
      <vt:lpstr>CMTable</vt:lpstr>
      <vt:lpstr>'Sigma Metric'!precmeans</vt:lpstr>
      <vt:lpstr>'Alt Method Comparison'!Print_Area</vt:lpstr>
    </vt:vector>
  </TitlesOfParts>
  <Company>JHMI Department of Pathology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MSWARTZ4</dc:creator>
  <cp:lastModifiedBy>Daniel Leighton</cp:lastModifiedBy>
  <cp:lastPrinted>2018-12-24T05:20:32Z</cp:lastPrinted>
  <dcterms:created xsi:type="dcterms:W3CDTF">2008-10-24T19:15:46Z</dcterms:created>
  <dcterms:modified xsi:type="dcterms:W3CDTF">2018-12-24T05:20:39Z</dcterms:modified>
</cp:coreProperties>
</file>