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unr\Documents\Arun Raju\Business\Webby\web page updates\2024\"/>
    </mc:Choice>
  </mc:AlternateContent>
  <bookViews>
    <workbookView xWindow="0" yWindow="0" windowWidth="28800" windowHeight="12435" tabRatio="787"/>
  </bookViews>
  <sheets>
    <sheet name="Summary" sheetId="1" r:id="rId1"/>
    <sheet name="CCA Tables" sheetId="15" r:id="rId2"/>
    <sheet name="Income" sheetId="2" r:id="rId3"/>
    <sheet name="Advertising" sheetId="3" r:id="rId4"/>
    <sheet name="Insurance" sheetId="4" r:id="rId5"/>
    <sheet name="Interest" sheetId="5" r:id="rId6"/>
    <sheet name="Office Expenses" sheetId="6" r:id="rId7"/>
    <sheet name="Professional Fees" sheetId="7" r:id="rId8"/>
    <sheet name="Management" sheetId="8" r:id="rId9"/>
    <sheet name="Repairs &amp; Maintenance" sheetId="9" r:id="rId10"/>
    <sheet name="Salaries &amp; Wages" sheetId="16" r:id="rId11"/>
    <sheet name="Property Taxes" sheetId="11" r:id="rId12"/>
    <sheet name="Travel Summary" sheetId="12" r:id="rId13"/>
    <sheet name="Utilities" sheetId="10" r:id="rId14"/>
    <sheet name="Motor Vehicle Expenses" sheetId="13" r:id="rId15"/>
    <sheet name="Other Expenses" sheetId="14" r:id="rId16"/>
  </sheets>
  <calcPr calcId="152511" iterate="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6" i="9" l="1"/>
  <c r="G55" i="9"/>
  <c r="G54" i="9"/>
  <c r="G53" i="9"/>
  <c r="G3" i="1"/>
  <c r="G4" i="1"/>
  <c r="G6" i="1"/>
  <c r="C9" i="3"/>
  <c r="D11" i="1"/>
  <c r="C16" i="4"/>
  <c r="F16" i="4"/>
  <c r="I16" i="4"/>
  <c r="D12" i="1"/>
  <c r="I6" i="5"/>
  <c r="D13" i="1"/>
  <c r="K17" i="6"/>
  <c r="N17" i="6"/>
  <c r="D19" i="6"/>
  <c r="D14" i="1"/>
  <c r="D10" i="7"/>
  <c r="D15" i="1"/>
  <c r="D9" i="8"/>
  <c r="D16" i="1"/>
  <c r="E49" i="9"/>
  <c r="D17" i="1"/>
  <c r="D18" i="1"/>
  <c r="B9" i="11"/>
  <c r="E9" i="11"/>
  <c r="H9" i="11"/>
  <c r="D19" i="1"/>
  <c r="D20" i="1"/>
  <c r="D21" i="1"/>
  <c r="G16" i="13"/>
  <c r="C15" i="13"/>
  <c r="J27" i="13"/>
  <c r="C16" i="13"/>
  <c r="M22" i="13"/>
  <c r="C17" i="13"/>
  <c r="C19" i="13"/>
  <c r="D22" i="1"/>
  <c r="D23" i="1"/>
  <c r="D25" i="1"/>
  <c r="C19" i="4"/>
  <c r="I19" i="4"/>
  <c r="F12" i="1"/>
  <c r="C9" i="5"/>
  <c r="I9" i="5"/>
  <c r="F13" i="1"/>
  <c r="K20" i="6"/>
  <c r="N20" i="6"/>
  <c r="D22" i="6"/>
  <c r="F14" i="1"/>
  <c r="B11" i="11"/>
  <c r="H11" i="11"/>
  <c r="F19" i="1"/>
  <c r="F21" i="1"/>
  <c r="F9" i="8"/>
  <c r="O4" i="9"/>
  <c r="O5" i="9"/>
  <c r="O6" i="9"/>
  <c r="O8" i="9"/>
  <c r="O9" i="9"/>
  <c r="O10" i="9"/>
  <c r="O13" i="9"/>
  <c r="O14" i="9"/>
  <c r="O15" i="9"/>
  <c r="O16" i="9"/>
  <c r="O17" i="9"/>
  <c r="O18" i="9"/>
  <c r="O20" i="9"/>
  <c r="O23" i="9"/>
  <c r="O24" i="9"/>
  <c r="O25" i="9"/>
  <c r="O26" i="9"/>
  <c r="O27" i="9"/>
  <c r="O28" i="9"/>
  <c r="O30" i="9"/>
  <c r="O31" i="9"/>
  <c r="O49" i="9"/>
  <c r="C10" i="13"/>
  <c r="C5" i="13"/>
  <c r="C8" i="13"/>
  <c r="C12" i="13"/>
  <c r="C23" i="13"/>
  <c r="C21" i="13"/>
  <c r="F22" i="1"/>
  <c r="F26" i="1"/>
  <c r="G28" i="1"/>
  <c r="G30" i="1"/>
  <c r="G34" i="1"/>
  <c r="G14" i="6"/>
  <c r="C79" i="10"/>
  <c r="J79" i="10"/>
  <c r="J81" i="10"/>
  <c r="J76" i="10"/>
  <c r="C76" i="10"/>
  <c r="C71" i="10"/>
  <c r="J69" i="10"/>
  <c r="F69" i="10"/>
  <c r="F19" i="10"/>
  <c r="S43" i="10"/>
  <c r="W43" i="10"/>
  <c r="S50" i="10"/>
  <c r="F76" i="10"/>
  <c r="G43" i="10"/>
  <c r="G46" i="10"/>
  <c r="C43" i="10"/>
  <c r="K43" i="10"/>
  <c r="O43" i="10"/>
  <c r="C50" i="10"/>
  <c r="C69" i="10"/>
  <c r="C19" i="10"/>
  <c r="I12" i="12"/>
  <c r="I9" i="12"/>
  <c r="I6" i="12"/>
  <c r="C9" i="16"/>
  <c r="H9" i="16"/>
  <c r="C12" i="16"/>
  <c r="F12" i="16"/>
  <c r="H12" i="16"/>
  <c r="H6" i="16"/>
  <c r="C16" i="16"/>
  <c r="G49" i="9"/>
  <c r="D25" i="6"/>
  <c r="D14" i="6"/>
  <c r="D22" i="15"/>
  <c r="E22" i="15"/>
  <c r="G22" i="15"/>
  <c r="I22" i="15"/>
  <c r="D28" i="15"/>
  <c r="D26" i="15"/>
  <c r="D24" i="15"/>
  <c r="G13" i="15"/>
  <c r="F79" i="10"/>
  <c r="C81" i="10"/>
  <c r="J21" i="10"/>
  <c r="E13" i="11"/>
  <c r="B13" i="11"/>
  <c r="H13" i="11"/>
  <c r="C12" i="5"/>
  <c r="F12" i="5"/>
  <c r="I12" i="5"/>
  <c r="F22" i="4"/>
  <c r="C22" i="4"/>
  <c r="I22" i="4"/>
  <c r="I18" i="2"/>
  <c r="I16" i="2"/>
  <c r="H16" i="2"/>
  <c r="D16" i="2"/>
  <c r="C16" i="2"/>
  <c r="D18" i="2"/>
  <c r="E24" i="15"/>
  <c r="G24" i="15"/>
  <c r="E26" i="15"/>
  <c r="G26" i="15"/>
  <c r="E28" i="15"/>
  <c r="G28" i="15"/>
  <c r="G30" i="15"/>
  <c r="I26" i="15"/>
  <c r="G19" i="15"/>
  <c r="I28" i="15"/>
  <c r="I24" i="15"/>
  <c r="E17" i="15"/>
  <c r="G17" i="15"/>
  <c r="I17" i="15"/>
  <c r="E15" i="15"/>
  <c r="G15" i="15"/>
  <c r="I15" i="15"/>
  <c r="E13" i="15"/>
  <c r="I13" i="15"/>
  <c r="K23" i="6"/>
  <c r="N23" i="6"/>
  <c r="K27" i="6"/>
  <c r="J29" i="13"/>
  <c r="G10" i="6"/>
  <c r="D14" i="2"/>
  <c r="G5" i="6"/>
  <c r="G6" i="6"/>
  <c r="C16" i="12"/>
  <c r="E10" i="14"/>
  <c r="J19" i="10"/>
  <c r="F12" i="12"/>
  <c r="F6" i="12"/>
  <c r="C6" i="12"/>
  <c r="C9" i="12"/>
  <c r="C12" i="12"/>
</calcChain>
</file>

<file path=xl/sharedStrings.xml><?xml version="1.0" encoding="utf-8"?>
<sst xmlns="http://schemas.openxmlformats.org/spreadsheetml/2006/main" count="568" uniqueCount="166">
  <si>
    <t>Month</t>
  </si>
  <si>
    <t>Property</t>
  </si>
  <si>
    <t>Notes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</si>
  <si>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</si>
  <si>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</si>
  <si>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</si>
  <si>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</si>
  <si>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</si>
  <si>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</si>
  <si>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</si>
  <si>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</si>
  <si>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</si>
  <si>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</si>
  <si>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</si>
  <si>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</si>
  <si>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Unit 1</t>
  </si>
  <si>
    <t>Unit 2</t>
  </si>
  <si>
    <t>Total</t>
  </si>
  <si>
    <t>Total Property</t>
  </si>
  <si>
    <t>Unit 3</t>
  </si>
  <si>
    <t>Date</t>
  </si>
  <si>
    <t>Expense</t>
  </si>
  <si>
    <t>Box # 8141</t>
  </si>
  <si>
    <t>Part 3 Income</t>
  </si>
  <si>
    <t>Part 4 Expenses</t>
  </si>
  <si>
    <t>Advertising</t>
  </si>
  <si>
    <t>Insurance</t>
  </si>
  <si>
    <t>Interest</t>
  </si>
  <si>
    <t>Professional fees</t>
  </si>
  <si>
    <t>Management</t>
  </si>
  <si>
    <t>Repairs &amp; Maintenance</t>
  </si>
  <si>
    <t>Property Taxes</t>
  </si>
  <si>
    <t>Travel Expenses</t>
  </si>
  <si>
    <t>Utilities</t>
  </si>
  <si>
    <t>Motor Vehicle</t>
  </si>
  <si>
    <t>Other</t>
  </si>
  <si>
    <t>Total Expenses</t>
  </si>
  <si>
    <t>Personal Use</t>
  </si>
  <si>
    <t>Business Use</t>
  </si>
  <si>
    <t>Year Interest Paid</t>
  </si>
  <si>
    <t>Total Both</t>
  </si>
  <si>
    <t>Provider</t>
  </si>
  <si>
    <t>Amount</t>
  </si>
  <si>
    <t xml:space="preserve">Date </t>
  </si>
  <si>
    <t>date</t>
  </si>
  <si>
    <t>Current</t>
  </si>
  <si>
    <t>Capital</t>
  </si>
  <si>
    <t>description</t>
  </si>
  <si>
    <t>km</t>
  </si>
  <si>
    <t>Gas for mower / blower / mover</t>
  </si>
  <si>
    <t>Archived Providers</t>
  </si>
  <si>
    <t>*</t>
  </si>
  <si>
    <t>business portion</t>
  </si>
  <si>
    <t>*personal portion</t>
  </si>
  <si>
    <t>Maintenance</t>
  </si>
  <si>
    <t>Enbridge</t>
  </si>
  <si>
    <t>Hydro Ottawa</t>
  </si>
  <si>
    <t>Building</t>
  </si>
  <si>
    <t>Water and Sewar</t>
  </si>
  <si>
    <t>Odometer Jan 1st</t>
  </si>
  <si>
    <t>Odometer Dec 31st</t>
  </si>
  <si>
    <t>Vehicle:</t>
  </si>
  <si>
    <t>Mileage (km)</t>
  </si>
  <si>
    <t>Gas</t>
  </si>
  <si>
    <t>Total KM travelled in Year</t>
  </si>
  <si>
    <t>Total KM for Realty Rental Income</t>
  </si>
  <si>
    <t>Percentage of mileage as rental</t>
  </si>
  <si>
    <t>Total Gas Costs</t>
  </si>
  <si>
    <t>Total Insurance Costs</t>
  </si>
  <si>
    <t>Total Maintenance Costs</t>
  </si>
  <si>
    <t>mileage</t>
  </si>
  <si>
    <t>Totals</t>
  </si>
  <si>
    <t xml:space="preserve">Total All </t>
  </si>
  <si>
    <t>Class</t>
  </si>
  <si>
    <t>Rate</t>
  </si>
  <si>
    <t>Description</t>
  </si>
  <si>
    <t>Tools / Appliances / Furniture / Chattels</t>
  </si>
  <si>
    <t>Technology Equipment</t>
  </si>
  <si>
    <t>CCA Legend</t>
  </si>
  <si>
    <t>Beginning Balance</t>
  </si>
  <si>
    <t>Additions during the Year</t>
  </si>
  <si>
    <t>Combined</t>
  </si>
  <si>
    <t>Total Combined</t>
  </si>
  <si>
    <t>Persy Combined</t>
  </si>
  <si>
    <t>Business Combined</t>
  </si>
  <si>
    <t>shelving repair</t>
  </si>
  <si>
    <t>tool</t>
  </si>
  <si>
    <t>mouse traps, yard bags, crank handle windows, plumbing supplies</t>
  </si>
  <si>
    <t>return plumbing supplies</t>
  </si>
  <si>
    <t>furnace ducting material; cement trowel; cement bag</t>
  </si>
  <si>
    <t xml:space="preserve">Mouse traps; electric mouse trap; toilet paper holder; </t>
  </si>
  <si>
    <t>Air purifier filter</t>
  </si>
  <si>
    <t>shop vac filter</t>
  </si>
  <si>
    <t>ant traps; ant killer; salt and sand bag</t>
  </si>
  <si>
    <t>Grass seeds; pump gauge</t>
  </si>
  <si>
    <t>New Finish Polish</t>
  </si>
  <si>
    <t>Finishing Nails</t>
  </si>
  <si>
    <t>caulk; caulk; caulking gun</t>
  </si>
  <si>
    <t>Shims</t>
  </si>
  <si>
    <t>smoke detector; electric outlet cover plates</t>
  </si>
  <si>
    <t>doorbell; sink strainer; plumbing supplies</t>
  </si>
  <si>
    <t>Smoke detector batteries; air freshners; etc</t>
  </si>
  <si>
    <t>cleaning supplies</t>
  </si>
  <si>
    <t>air freshners for fire issue; detector battery</t>
  </si>
  <si>
    <t>yard bags; yard supplies; cleaning supplies for reno</t>
  </si>
  <si>
    <t>Total Vehicle Costs</t>
  </si>
  <si>
    <t>Total Personal</t>
  </si>
  <si>
    <t>Total Realty Related</t>
  </si>
  <si>
    <t xml:space="preserve">Shelving </t>
  </si>
  <si>
    <t xml:space="preserve">Rent Check </t>
  </si>
  <si>
    <t>appliance bulbs; smoke detector batteries</t>
  </si>
  <si>
    <t>Liquid Drain Cleaner</t>
  </si>
  <si>
    <t>Monthly Average</t>
  </si>
  <si>
    <t>curtain rods and hardware</t>
  </si>
  <si>
    <t xml:space="preserve">shelving, kitchen shelf, dehumidifier table, </t>
  </si>
  <si>
    <t>close rod; paint; closet magnet strikers; paint brush; key cuts</t>
  </si>
  <si>
    <t>half year rule</t>
  </si>
  <si>
    <t>UCC balance at end of year</t>
  </si>
  <si>
    <t>caa rate</t>
  </si>
  <si>
    <t>CCA applied  current year</t>
  </si>
  <si>
    <t>Class 8</t>
  </si>
  <si>
    <t>Class 50</t>
  </si>
  <si>
    <t xml:space="preserve">Class </t>
  </si>
  <si>
    <t>class 1</t>
  </si>
  <si>
    <t>Class 10</t>
  </si>
  <si>
    <t>general purpose electronic equipment</t>
  </si>
  <si>
    <t>CAA</t>
  </si>
  <si>
    <t>Personal</t>
  </si>
  <si>
    <t>Net</t>
  </si>
  <si>
    <t>Personal (1 person of 5)</t>
  </si>
  <si>
    <t>Office Expenses</t>
  </si>
  <si>
    <t>Salaries &amp; Wages</t>
  </si>
  <si>
    <t>Personal Portion</t>
  </si>
  <si>
    <t>A</t>
  </si>
  <si>
    <t>Net Income (Loss)</t>
  </si>
  <si>
    <t>CCA Class</t>
  </si>
  <si>
    <t>Total Travel Costs</t>
  </si>
  <si>
    <t>Total Wages Costs</t>
  </si>
  <si>
    <t>Total Wages Cost</t>
  </si>
  <si>
    <t>Total CCA Allowance Claim</t>
  </si>
  <si>
    <t>Net Income (Loss) before Adj</t>
  </si>
  <si>
    <t>6/7/8</t>
  </si>
  <si>
    <t>Please completely ignore this worksheet</t>
  </si>
  <si>
    <t>Property 1</t>
  </si>
  <si>
    <t>Property 2</t>
  </si>
  <si>
    <t>combined</t>
  </si>
  <si>
    <t>Cell Provider</t>
  </si>
  <si>
    <t>Internet Provider</t>
  </si>
  <si>
    <t>*both items included with property 1</t>
  </si>
  <si>
    <t>P1</t>
  </si>
  <si>
    <t>P2</t>
  </si>
  <si>
    <t>ABC</t>
  </si>
  <si>
    <t>supplies</t>
  </si>
  <si>
    <t>DEF</t>
  </si>
  <si>
    <t>GHI</t>
  </si>
  <si>
    <t>JKL</t>
  </si>
  <si>
    <t>MNO</t>
  </si>
  <si>
    <t>PQR</t>
  </si>
  <si>
    <t xml:space="preserve">fridge </t>
  </si>
  <si>
    <t>door</t>
  </si>
  <si>
    <t>new window</t>
  </si>
  <si>
    <t>City of Dreams</t>
  </si>
  <si>
    <t>Mechanic</t>
  </si>
  <si>
    <t>Repairs</t>
  </si>
  <si>
    <t xml:space="preserve">expenses </t>
  </si>
  <si>
    <t>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</si>
</sst>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0.0"/>
    <numFmt numFmtId="166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u/>
      <sz val="11"/>
      <color indexed="8"/>
      <name val="Calibri"/>
      <family val="2"/>
    </font>
    <font>
      <b/>
      <u val="singleAccounting"/>
      <sz val="11"/>
      <color indexed="8"/>
      <name val="Calibri"/>
      <family val="2"/>
    </font>
    <font>
      <u/>
      <sz val="11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2">
    <xf numFmtId="0" fontId="0" fillId="0" borderId="0" xfId="0"/>
    <xf numFmtId="0" fontId="0" fillId="0" borderId="1" xfId="0" applyBorder="1"/>
    <xf numFmtId="0" fontId="2" fillId="0" borderId="0" xfId="0" applyFont="1"/>
    <xf numFmtId="44" fontId="2" fillId="0" borderId="0" xfId="2" applyFont="1"/>
    <xf numFmtId="44" fontId="0" fillId="0" borderId="0" xfId="0" applyNumberFormat="1"/>
    <xf numFmtId="0" fontId="0" fillId="2" borderId="0" xfId="0" applyFill="1"/>
    <xf numFmtId="0" fontId="0" fillId="2" borderId="1" xfId="0" applyFill="1" applyBorder="1"/>
    <xf numFmtId="44" fontId="2" fillId="0" borderId="0" xfId="0" applyNumberFormat="1" applyFont="1"/>
    <xf numFmtId="0" fontId="0" fillId="0" borderId="0" xfId="0" applyFont="1"/>
    <xf numFmtId="0" fontId="3" fillId="0" borderId="0" xfId="0" applyFont="1"/>
    <xf numFmtId="16" fontId="0" fillId="0" borderId="0" xfId="0" applyNumberFormat="1"/>
    <xf numFmtId="0" fontId="0" fillId="0" borderId="2" xfId="0" applyBorder="1"/>
    <xf numFmtId="44" fontId="0" fillId="0" borderId="0" xfId="2" applyFont="1"/>
    <xf numFmtId="16" fontId="4" fillId="0" borderId="0" xfId="0" applyNumberFormat="1" applyFont="1" applyFill="1" applyBorder="1"/>
    <xf numFmtId="44" fontId="4" fillId="0" borderId="0" xfId="2" applyFont="1" applyFill="1" applyBorder="1"/>
    <xf numFmtId="0" fontId="4" fillId="0" borderId="0" xfId="0" applyFont="1" applyFill="1" applyBorder="1"/>
    <xf numFmtId="44" fontId="0" fillId="0" borderId="0" xfId="2" applyFont="1" applyFill="1"/>
    <xf numFmtId="16" fontId="0" fillId="0" borderId="1" xfId="0" applyNumberFormat="1" applyBorder="1"/>
    <xf numFmtId="44" fontId="0" fillId="0" borderId="1" xfId="2" applyFont="1" applyBorder="1"/>
    <xf numFmtId="0" fontId="5" fillId="0" borderId="0" xfId="0" applyFont="1"/>
    <xf numFmtId="44" fontId="6" fillId="0" borderId="0" xfId="2" applyFont="1"/>
    <xf numFmtId="0" fontId="0" fillId="0" borderId="0" xfId="0" applyFill="1"/>
    <xf numFmtId="16" fontId="0" fillId="0" borderId="0" xfId="0" applyNumberFormat="1" applyFill="1"/>
    <xf numFmtId="44" fontId="0" fillId="0" borderId="1" xfId="2" applyFont="1" applyFill="1" applyBorder="1"/>
    <xf numFmtId="44" fontId="2" fillId="0" borderId="0" xfId="2" applyFont="1" applyFill="1"/>
    <xf numFmtId="0" fontId="0" fillId="0" borderId="0" xfId="0" quotePrefix="1" applyFill="1"/>
    <xf numFmtId="44" fontId="2" fillId="0" borderId="2" xfId="2" applyFont="1" applyFill="1" applyBorder="1"/>
    <xf numFmtId="166" fontId="0" fillId="0" borderId="0" xfId="1" applyNumberFormat="1" applyFont="1"/>
    <xf numFmtId="166" fontId="0" fillId="0" borderId="0" xfId="1" applyNumberFormat="1" applyFont="1" applyFill="1"/>
    <xf numFmtId="164" fontId="0" fillId="0" borderId="0" xfId="0" applyNumberFormat="1"/>
    <xf numFmtId="16" fontId="0" fillId="0" borderId="0" xfId="2" applyNumberFormat="1" applyFont="1"/>
    <xf numFmtId="164" fontId="0" fillId="0" borderId="0" xfId="0" applyNumberFormat="1" applyFill="1"/>
    <xf numFmtId="44" fontId="0" fillId="0" borderId="0" xfId="2" applyFont="1" applyBorder="1"/>
    <xf numFmtId="0" fontId="0" fillId="0" borderId="0" xfId="0" applyFill="1" applyBorder="1"/>
    <xf numFmtId="0" fontId="0" fillId="0" borderId="0" xfId="0" applyBorder="1"/>
    <xf numFmtId="0" fontId="7" fillId="0" borderId="0" xfId="0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 applyBorder="1"/>
    <xf numFmtId="0" fontId="7" fillId="0" borderId="0" xfId="0" applyFont="1" applyBorder="1"/>
    <xf numFmtId="0" fontId="7" fillId="0" borderId="7" xfId="0" applyFon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6" xfId="0" applyFont="1" applyBorder="1"/>
    <xf numFmtId="0" fontId="0" fillId="0" borderId="11" xfId="0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0" fillId="0" borderId="0" xfId="0" quotePrefix="1"/>
    <xf numFmtId="43" fontId="0" fillId="0" borderId="7" xfId="1" applyFont="1" applyBorder="1"/>
    <xf numFmtId="43" fontId="0" fillId="0" borderId="12" xfId="1" applyFont="1" applyBorder="1"/>
    <xf numFmtId="0" fontId="0" fillId="0" borderId="8" xfId="0" applyFill="1" applyBorder="1"/>
    <xf numFmtId="0" fontId="3" fillId="0" borderId="5" xfId="0" applyFont="1" applyBorder="1" applyAlignment="1">
      <alignment horizontal="center"/>
    </xf>
    <xf numFmtId="43" fontId="8" fillId="0" borderId="10" xfId="1" applyFont="1" applyBorder="1"/>
    <xf numFmtId="14" fontId="0" fillId="0" borderId="0" xfId="0" applyNumberFormat="1" applyAlignment="1">
      <alignment horizontal="left"/>
    </xf>
    <xf numFmtId="43" fontId="0" fillId="0" borderId="0" xfId="0" applyNumberFormat="1"/>
    <xf numFmtId="9" fontId="0" fillId="0" borderId="0" xfId="3" applyFont="1"/>
    <xf numFmtId="0" fontId="0" fillId="0" borderId="6" xfId="0" applyBorder="1" applyAlignment="1">
      <alignment horizontal="center"/>
    </xf>
    <xf numFmtId="9" fontId="0" fillId="0" borderId="7" xfId="3" applyFont="1" applyBorder="1" applyAlignment="1">
      <alignment horizontal="center"/>
    </xf>
    <xf numFmtId="0" fontId="0" fillId="0" borderId="8" xfId="0" applyBorder="1" applyAlignment="1">
      <alignment horizontal="center"/>
    </xf>
    <xf numFmtId="9" fontId="0" fillId="0" borderId="10" xfId="3" applyFont="1" applyBorder="1" applyAlignment="1">
      <alignment horizontal="center"/>
    </xf>
    <xf numFmtId="44" fontId="0" fillId="0" borderId="2" xfId="2" applyFont="1" applyBorder="1"/>
    <xf numFmtId="44" fontId="0" fillId="0" borderId="0" xfId="2" quotePrefix="1" applyFont="1"/>
    <xf numFmtId="14" fontId="0" fillId="0" borderId="1" xfId="0" applyNumberFormat="1" applyBorder="1" applyAlignment="1">
      <alignment horizontal="left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6" xfId="0" applyFont="1" applyFill="1" applyBorder="1"/>
    <xf numFmtId="0" fontId="2" fillId="0" borderId="0" xfId="0" applyFont="1" applyBorder="1"/>
    <xf numFmtId="0" fontId="2" fillId="0" borderId="0" xfId="0" applyFont="1" applyFill="1" applyBorder="1"/>
    <xf numFmtId="0" fontId="2" fillId="0" borderId="7" xfId="0" applyFont="1" applyBorder="1"/>
    <xf numFmtId="0" fontId="2" fillId="0" borderId="6" xfId="0" applyFont="1" applyBorder="1"/>
    <xf numFmtId="14" fontId="0" fillId="0" borderId="0" xfId="0" applyNumberFormat="1"/>
    <xf numFmtId="14" fontId="2" fillId="0" borderId="0" xfId="0" applyNumberFormat="1" applyFont="1"/>
    <xf numFmtId="14" fontId="0" fillId="0" borderId="1" xfId="0" applyNumberFormat="1" applyBorder="1"/>
    <xf numFmtId="0" fontId="2" fillId="0" borderId="3" xfId="0" applyFont="1" applyBorder="1"/>
    <xf numFmtId="0" fontId="2" fillId="0" borderId="8" xfId="0" applyFont="1" applyBorder="1"/>
    <xf numFmtId="43" fontId="0" fillId="0" borderId="0" xfId="1" applyFont="1"/>
    <xf numFmtId="44" fontId="2" fillId="0" borderId="2" xfId="0" applyNumberFormat="1" applyFont="1" applyBorder="1"/>
    <xf numFmtId="0" fontId="0" fillId="0" borderId="1" xfId="0" applyFill="1" applyBorder="1"/>
    <xf numFmtId="13" fontId="0" fillId="0" borderId="0" xfId="2" applyNumberFormat="1" applyFont="1"/>
    <xf numFmtId="44" fontId="0" fillId="0" borderId="0" xfId="0" applyNumberFormat="1" applyFill="1"/>
    <xf numFmtId="44" fontId="3" fillId="0" borderId="0" xfId="0" applyNumberFormat="1" applyFont="1"/>
    <xf numFmtId="0" fontId="0" fillId="0" borderId="0" xfId="0" applyAlignment="1">
      <alignment horizontal="center"/>
    </xf>
    <xf numFmtId="44" fontId="0" fillId="0" borderId="0" xfId="2" applyFont="1" applyAlignment="1">
      <alignment horizontal="center"/>
    </xf>
    <xf numFmtId="10" fontId="0" fillId="0" borderId="0" xfId="3" applyNumberFormat="1" applyFont="1" applyAlignment="1">
      <alignment horizontal="center"/>
    </xf>
    <xf numFmtId="44" fontId="8" fillId="0" borderId="0" xfId="0" applyNumberFormat="1" applyFont="1"/>
    <xf numFmtId="44" fontId="0" fillId="0" borderId="2" xfId="0" applyNumberFormat="1" applyFill="1" applyBorder="1"/>
    <xf numFmtId="0" fontId="0" fillId="0" borderId="2" xfId="0" applyFill="1" applyBorder="1"/>
    <xf numFmtId="44" fontId="2" fillId="0" borderId="0" xfId="2" applyFont="1" applyBorder="1"/>
    <xf numFmtId="44" fontId="2" fillId="0" borderId="2" xfId="2" applyFont="1" applyBorder="1"/>
    <xf numFmtId="44" fontId="0" fillId="0" borderId="2" xfId="0" applyNumberFormat="1" applyBorder="1"/>
    <xf numFmtId="44" fontId="8" fillId="0" borderId="2" xfId="0" applyNumberFormat="1" applyFont="1" applyBorder="1"/>
    <xf numFmtId="0" fontId="9" fillId="3" borderId="0" xfId="0" applyFont="1" applyFill="1" applyAlignment="1">
      <alignment horizontal="left"/>
    </xf>
    <xf numFmtId="0" fontId="2" fillId="0" borderId="0" xfId="0" applyFont="1" applyAlignment="1">
      <alignment horizontal="right"/>
    </xf>
    <xf numFmtId="1" fontId="0" fillId="0" borderId="0" xfId="1" applyNumberFormat="1" applyFont="1" applyAlignment="1">
      <alignment horizontal="center"/>
    </xf>
    <xf numFmtId="1" fontId="4" fillId="0" borderId="0" xfId="1" applyNumberFormat="1" applyFont="1" applyFill="1" applyBorder="1" applyAlignment="1">
      <alignment horizontal="center"/>
    </xf>
    <xf numFmtId="1" fontId="0" fillId="0" borderId="1" xfId="1" applyNumberFormat="1" applyFont="1" applyBorder="1" applyAlignment="1">
      <alignment horizontal="center"/>
    </xf>
    <xf numFmtId="1" fontId="6" fillId="0" borderId="0" xfId="1" applyNumberFormat="1" applyFont="1" applyAlignment="1">
      <alignment horizontal="center"/>
    </xf>
    <xf numFmtId="0" fontId="0" fillId="0" borderId="13" xfId="0" applyBorder="1"/>
    <xf numFmtId="0" fontId="0" fillId="0" borderId="14" xfId="0" applyBorder="1"/>
    <xf numFmtId="44" fontId="0" fillId="0" borderId="14" xfId="2" applyFont="1" applyBorder="1"/>
    <xf numFmtId="1" fontId="0" fillId="0" borderId="14" xfId="1" applyNumberFormat="1" applyFont="1" applyBorder="1" applyAlignment="1">
      <alignment horizontal="center"/>
    </xf>
    <xf numFmtId="44" fontId="0" fillId="0" borderId="15" xfId="2" applyFont="1" applyBorder="1"/>
    <xf numFmtId="0" fontId="0" fillId="0" borderId="16" xfId="0" applyBorder="1" applyAlignment="1">
      <alignment horizontal="center"/>
    </xf>
    <xf numFmtId="1" fontId="0" fillId="0" borderId="0" xfId="1" applyNumberFormat="1" applyFont="1" applyBorder="1" applyAlignment="1">
      <alignment horizontal="center"/>
    </xf>
    <xf numFmtId="44" fontId="0" fillId="0" borderId="17" xfId="2" applyFont="1" applyBorder="1"/>
    <xf numFmtId="0" fontId="0" fillId="0" borderId="18" xfId="0" applyBorder="1" applyAlignment="1">
      <alignment horizontal="center"/>
    </xf>
    <xf numFmtId="44" fontId="0" fillId="0" borderId="19" xfId="2" applyFont="1" applyBorder="1"/>
    <xf numFmtId="10" fontId="10" fillId="0" borderId="0" xfId="3" applyNumberFormat="1" applyFont="1" applyAlignment="1">
      <alignment horizontal="center"/>
    </xf>
    <xf numFmtId="44" fontId="0" fillId="0" borderId="2" xfId="2" applyFont="1" applyFill="1" applyBorder="1"/>
    <xf numFmtId="165" fontId="0" fillId="0" borderId="0" xfId="0" applyNumberFormat="1" applyFill="1"/>
    <xf numFmtId="43" fontId="0" fillId="0" borderId="1" xfId="1" applyFont="1" applyBorder="1"/>
    <xf numFmtId="43" fontId="2" fillId="0" borderId="0" xfId="1" applyFont="1"/>
    <xf numFmtId="44" fontId="2" fillId="0" borderId="2" xfId="0" applyNumberFormat="1" applyFont="1" applyFill="1" applyBorder="1"/>
    <xf numFmtId="0" fontId="0" fillId="0" borderId="0" xfId="0" quotePrefix="1" applyAlignment="1">
      <alignment horizontal="right"/>
    </xf>
    <xf numFmtId="44" fontId="8" fillId="0" borderId="0" xfId="0" applyNumberFormat="1" applyFont="1" applyFill="1"/>
    <xf numFmtId="0" fontId="10" fillId="2" borderId="0" xfId="0" applyFont="1" applyFill="1"/>
    <xf numFmtId="0" fontId="11" fillId="0" borderId="0" xfId="0" applyFont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4"/>
  <sheetViews>
    <sheetView tabSelected="1" workbookViewId="0">
      <selection activeCell="C23" sqref="C23"/>
    </sheetView>
  </sheetViews>
  <sheetFormatPr defaultRowHeight="15" x14ac:dyDescent="0.25"/>
  <cols>
    <col min="2" max="2" width="28.42578125" customWidth="1"/>
    <col min="3" max="3" width="6.28515625" customWidth="1"/>
    <col min="4" max="4" width="11.5703125" bestFit="1" customWidth="1"/>
    <col min="6" max="6" width="16.28515625" customWidth="1"/>
    <col min="7" max="7" width="11.5703125" bestFit="1" customWidth="1"/>
    <col min="8" max="8" width="9.140625" customWidth="1"/>
  </cols>
  <sheetData>
    <row r="1" spans="2:12" x14ac:dyDescent="0.25">
      <c r="B1" t="s">
        <v>23</v>
      </c>
    </row>
    <row r="3" spans="2:12" x14ac:dyDescent="0.25">
      <c r="B3" t="s">
        <v>143</v>
      </c>
      <c r="G3" s="4">
        <f>Income!D18</f>
        <v>36377.31</v>
      </c>
      <c r="H3">
        <v>3</v>
      </c>
      <c r="L3" s="52"/>
    </row>
    <row r="4" spans="2:12" x14ac:dyDescent="0.25">
      <c r="B4" t="s">
        <v>144</v>
      </c>
      <c r="G4" s="4">
        <f>Income!I18</f>
        <v>28350</v>
      </c>
      <c r="H4">
        <v>3</v>
      </c>
      <c r="L4" s="52"/>
    </row>
    <row r="5" spans="2:12" ht="15.75" thickBot="1" x14ac:dyDescent="0.3">
      <c r="L5" s="52"/>
    </row>
    <row r="6" spans="2:12" ht="15.75" thickBot="1" x14ac:dyDescent="0.3">
      <c r="B6" t="s">
        <v>17</v>
      </c>
      <c r="F6" s="96" t="s">
        <v>22</v>
      </c>
      <c r="G6" s="81">
        <f>G3+G4</f>
        <v>64727.31</v>
      </c>
    </row>
    <row r="7" spans="2:12" x14ac:dyDescent="0.25">
      <c r="L7" s="52"/>
    </row>
    <row r="8" spans="2:12" x14ac:dyDescent="0.25">
      <c r="B8" t="s">
        <v>24</v>
      </c>
    </row>
    <row r="9" spans="2:12" x14ac:dyDescent="0.25">
      <c r="F9" t="s">
        <v>132</v>
      </c>
    </row>
    <row r="11" spans="2:12" x14ac:dyDescent="0.25">
      <c r="B11" t="s">
        <v>25</v>
      </c>
      <c r="C11" s="96">
        <v>8521</v>
      </c>
      <c r="D11" s="12">
        <f>Advertising!C9</f>
        <v>100</v>
      </c>
    </row>
    <row r="12" spans="2:12" x14ac:dyDescent="0.25">
      <c r="B12" t="s">
        <v>26</v>
      </c>
      <c r="C12" s="96">
        <v>8690</v>
      </c>
      <c r="D12" s="12">
        <f>Insurance!I16</f>
        <v>4800</v>
      </c>
      <c r="F12" s="4">
        <f>Insurance!I19</f>
        <v>-800</v>
      </c>
    </row>
    <row r="13" spans="2:12" x14ac:dyDescent="0.25">
      <c r="B13" t="s">
        <v>27</v>
      </c>
      <c r="C13" s="96">
        <v>8710</v>
      </c>
      <c r="D13" s="16">
        <f>Interest!I6</f>
        <v>11500</v>
      </c>
      <c r="F13" s="4">
        <f>Interest!I9</f>
        <v>-1333.3333333333333</v>
      </c>
    </row>
    <row r="14" spans="2:12" x14ac:dyDescent="0.25">
      <c r="B14" t="s">
        <v>130</v>
      </c>
      <c r="C14" s="96">
        <v>8810</v>
      </c>
      <c r="D14" s="16">
        <f>'Office Expenses'!D19</f>
        <v>2543.79</v>
      </c>
      <c r="F14" s="4">
        <f>'Office Expenses'!D22</f>
        <v>-1020</v>
      </c>
    </row>
    <row r="15" spans="2:12" x14ac:dyDescent="0.25">
      <c r="B15" t="s">
        <v>28</v>
      </c>
      <c r="C15" s="96">
        <v>8860</v>
      </c>
      <c r="D15" s="12">
        <f>'Professional Fees'!D10</f>
        <v>488.75</v>
      </c>
    </row>
    <row r="16" spans="2:12" x14ac:dyDescent="0.25">
      <c r="B16" t="s">
        <v>29</v>
      </c>
      <c r="C16" s="96">
        <v>8871</v>
      </c>
      <c r="D16" s="12">
        <f>Management!D9</f>
        <v>168.5</v>
      </c>
    </row>
    <row r="17" spans="2:8" x14ac:dyDescent="0.25">
      <c r="B17" t="s">
        <v>30</v>
      </c>
      <c r="C17" s="96">
        <v>8960</v>
      </c>
      <c r="D17" s="16">
        <f>'Repairs &amp; Maintenance'!E49</f>
        <v>1759.5999999999997</v>
      </c>
    </row>
    <row r="18" spans="2:8" x14ac:dyDescent="0.25">
      <c r="B18" t="s">
        <v>131</v>
      </c>
      <c r="C18" s="96">
        <v>9060</v>
      </c>
      <c r="D18" s="16">
        <f>'Salaries &amp; Wages'!H6</f>
        <v>0</v>
      </c>
      <c r="F18" s="16"/>
    </row>
    <row r="19" spans="2:8" x14ac:dyDescent="0.25">
      <c r="B19" t="s">
        <v>31</v>
      </c>
      <c r="C19" s="96">
        <v>9180</v>
      </c>
      <c r="D19" s="12">
        <f>'Property Taxes'!H9</f>
        <v>10100</v>
      </c>
      <c r="F19" s="4">
        <f>'Property Taxes'!H11</f>
        <v>-1706.6666666666667</v>
      </c>
    </row>
    <row r="20" spans="2:8" x14ac:dyDescent="0.25">
      <c r="B20" t="s">
        <v>32</v>
      </c>
      <c r="C20" s="96">
        <v>9200</v>
      </c>
      <c r="D20" s="12">
        <f>'Travel Summary'!I6</f>
        <v>0</v>
      </c>
    </row>
    <row r="21" spans="2:8" x14ac:dyDescent="0.25">
      <c r="B21" t="s">
        <v>33</v>
      </c>
      <c r="C21" s="96">
        <v>9220</v>
      </c>
      <c r="D21" s="12">
        <f>Utilities!J76</f>
        <v>8715.66</v>
      </c>
      <c r="F21" s="4">
        <f>Utilities!J79</f>
        <v>-1599.3140000000001</v>
      </c>
    </row>
    <row r="22" spans="2:8" x14ac:dyDescent="0.25">
      <c r="B22" t="s">
        <v>34</v>
      </c>
      <c r="C22" s="96">
        <v>9281</v>
      </c>
      <c r="D22" s="12">
        <f>'Motor Vehicle Expenses'!C19</f>
        <v>5200.2299999999996</v>
      </c>
      <c r="F22" s="4">
        <f>'Motor Vehicle Expenses'!C21</f>
        <v>-5008.1638352591963</v>
      </c>
    </row>
    <row r="23" spans="2:8" x14ac:dyDescent="0.25">
      <c r="B23" s="1" t="s">
        <v>35</v>
      </c>
      <c r="C23" s="96">
        <v>9270</v>
      </c>
      <c r="D23" s="18">
        <f>'Other Expenses'!E10</f>
        <v>0</v>
      </c>
      <c r="F23" s="1"/>
    </row>
    <row r="25" spans="2:8" x14ac:dyDescent="0.25">
      <c r="B25" s="2" t="s">
        <v>36</v>
      </c>
      <c r="C25" s="97"/>
      <c r="D25" s="3">
        <f>SUM(D11:D23)</f>
        <v>45376.53</v>
      </c>
      <c r="E25" s="2" t="s">
        <v>133</v>
      </c>
    </row>
    <row r="26" spans="2:8" x14ac:dyDescent="0.25">
      <c r="E26" s="96">
        <v>9949</v>
      </c>
      <c r="F26" s="3">
        <f>SUM(F11:F23)</f>
        <v>-11467.477835259197</v>
      </c>
    </row>
    <row r="27" spans="2:8" x14ac:dyDescent="0.25">
      <c r="F27" s="3"/>
    </row>
    <row r="28" spans="2:8" x14ac:dyDescent="0.25">
      <c r="F28" s="3"/>
      <c r="G28" s="7">
        <f>D25+F26</f>
        <v>33909.052164740802</v>
      </c>
      <c r="H28">
        <v>4</v>
      </c>
    </row>
    <row r="29" spans="2:8" x14ac:dyDescent="0.25">
      <c r="F29" s="3"/>
      <c r="G29" s="2"/>
    </row>
    <row r="30" spans="2:8" x14ac:dyDescent="0.25">
      <c r="B30" s="8" t="s">
        <v>140</v>
      </c>
      <c r="C30" s="9"/>
      <c r="D30" s="9"/>
      <c r="F30" s="96">
        <v>9369</v>
      </c>
      <c r="G30" s="7">
        <f>G6-G28</f>
        <v>30818.257835259195</v>
      </c>
      <c r="H30" s="118" t="s">
        <v>141</v>
      </c>
    </row>
    <row r="31" spans="2:8" x14ac:dyDescent="0.25">
      <c r="B31" s="9"/>
      <c r="C31" s="9"/>
      <c r="D31" s="85"/>
    </row>
    <row r="32" spans="2:8" x14ac:dyDescent="0.25">
      <c r="B32" t="s">
        <v>139</v>
      </c>
      <c r="F32" s="96">
        <v>9936</v>
      </c>
      <c r="G32" s="6"/>
    </row>
    <row r="34" spans="2:8" ht="17.25" x14ac:dyDescent="0.4">
      <c r="B34" s="9" t="s">
        <v>134</v>
      </c>
      <c r="G34" s="119">
        <f>G30-G32</f>
        <v>30818.257835259195</v>
      </c>
      <c r="H34">
        <v>9</v>
      </c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C37" sqref="C37"/>
    </sheetView>
  </sheetViews>
  <sheetFormatPr defaultRowHeight="15" x14ac:dyDescent="0.25"/>
  <cols>
    <col min="1" max="1" width="17.85546875" customWidth="1"/>
    <col min="3" max="3" width="39.28515625" customWidth="1"/>
    <col min="4" max="4" width="23.85546875" bestFit="1" customWidth="1"/>
    <col min="5" max="5" width="13.28515625" customWidth="1"/>
    <col min="7" max="7" width="30" customWidth="1"/>
    <col min="9" max="9" width="12.5703125" bestFit="1" customWidth="1"/>
  </cols>
  <sheetData>
    <row r="1" spans="1:11" ht="15.75" thickBot="1" x14ac:dyDescent="0.3"/>
    <row r="2" spans="1:11" x14ac:dyDescent="0.25">
      <c r="B2" s="36" t="s">
        <v>78</v>
      </c>
      <c r="C2" s="37"/>
      <c r="D2" s="38"/>
      <c r="G2" s="120" t="s">
        <v>142</v>
      </c>
      <c r="H2" s="5"/>
    </row>
    <row r="3" spans="1:11" x14ac:dyDescent="0.25">
      <c r="B3" s="39" t="s">
        <v>73</v>
      </c>
      <c r="C3" s="34" t="s">
        <v>75</v>
      </c>
      <c r="D3" s="40" t="s">
        <v>74</v>
      </c>
    </row>
    <row r="4" spans="1:11" x14ac:dyDescent="0.25">
      <c r="B4" s="61">
        <v>1</v>
      </c>
      <c r="C4" s="34" t="s">
        <v>57</v>
      </c>
      <c r="D4" s="62">
        <v>0.04</v>
      </c>
    </row>
    <row r="5" spans="1:11" x14ac:dyDescent="0.25">
      <c r="B5" s="61">
        <v>8</v>
      </c>
      <c r="C5" s="34" t="s">
        <v>76</v>
      </c>
      <c r="D5" s="62">
        <v>0.2</v>
      </c>
    </row>
    <row r="6" spans="1:11" x14ac:dyDescent="0.25">
      <c r="B6" s="61">
        <v>10</v>
      </c>
      <c r="C6" s="33" t="s">
        <v>125</v>
      </c>
      <c r="D6" s="62">
        <v>0.3</v>
      </c>
    </row>
    <row r="7" spans="1:11" ht="15.75" thickBot="1" x14ac:dyDescent="0.3">
      <c r="B7" s="63">
        <v>50</v>
      </c>
      <c r="C7" s="45" t="s">
        <v>77</v>
      </c>
      <c r="D7" s="64">
        <v>0.55000000000000004</v>
      </c>
    </row>
    <row r="11" spans="1:11" x14ac:dyDescent="0.25">
      <c r="A11" t="s">
        <v>143</v>
      </c>
      <c r="B11" t="s">
        <v>122</v>
      </c>
      <c r="C11" s="86" t="s">
        <v>79</v>
      </c>
      <c r="D11" s="86" t="s">
        <v>80</v>
      </c>
      <c r="E11" s="86" t="s">
        <v>116</v>
      </c>
      <c r="F11" s="86" t="s">
        <v>118</v>
      </c>
      <c r="G11" s="86" t="s">
        <v>119</v>
      </c>
      <c r="H11" s="86"/>
      <c r="I11" s="86" t="s">
        <v>117</v>
      </c>
      <c r="J11" s="86"/>
      <c r="K11" s="86"/>
    </row>
    <row r="12" spans="1:11" x14ac:dyDescent="0.25">
      <c r="C12" s="86"/>
      <c r="D12" s="86"/>
      <c r="E12" s="86"/>
      <c r="F12" s="86"/>
      <c r="G12" s="86"/>
      <c r="H12" s="86"/>
      <c r="I12" s="86"/>
      <c r="J12" s="86"/>
      <c r="K12" s="86"/>
    </row>
    <row r="13" spans="1:11" s="12" customFormat="1" x14ac:dyDescent="0.25">
      <c r="B13" s="12" t="s">
        <v>123</v>
      </c>
      <c r="C13" s="87">
        <v>258381.91</v>
      </c>
      <c r="D13" s="87"/>
      <c r="E13" s="87">
        <f>D13*0.5</f>
        <v>0</v>
      </c>
      <c r="F13" s="112">
        <v>0</v>
      </c>
      <c r="G13" s="87">
        <f>(C13+E13)*F13</f>
        <v>0</v>
      </c>
      <c r="H13" s="87"/>
      <c r="I13" s="87">
        <f>C13+D13-G13</f>
        <v>258381.91</v>
      </c>
      <c r="J13" s="87"/>
      <c r="K13" s="87"/>
    </row>
    <row r="15" spans="1:11" x14ac:dyDescent="0.25">
      <c r="B15" t="s">
        <v>120</v>
      </c>
      <c r="C15" s="12">
        <v>2123.84</v>
      </c>
      <c r="D15" s="87"/>
      <c r="E15" s="87">
        <f>D15*0.5</f>
        <v>0</v>
      </c>
      <c r="F15" s="88">
        <v>0.2</v>
      </c>
      <c r="G15" s="87">
        <f>(C15+E15)*F15</f>
        <v>424.76800000000003</v>
      </c>
      <c r="H15" s="87"/>
      <c r="I15" s="87">
        <f>C15+D15-G15</f>
        <v>1699.0720000000001</v>
      </c>
      <c r="J15" s="87"/>
    </row>
    <row r="17" spans="1:9" x14ac:dyDescent="0.25">
      <c r="B17" t="s">
        <v>121</v>
      </c>
      <c r="C17">
        <v>0.19</v>
      </c>
      <c r="E17" s="87">
        <f>D17*0.5</f>
        <v>0</v>
      </c>
      <c r="F17" s="88">
        <v>0.55000000000000004</v>
      </c>
      <c r="G17" s="87">
        <f>(C17+E17)*F17</f>
        <v>0.10450000000000001</v>
      </c>
      <c r="H17" s="87"/>
      <c r="I17" s="87">
        <f>C17+D17-G17</f>
        <v>8.5499999999999993E-2</v>
      </c>
    </row>
    <row r="19" spans="1:9" ht="17.25" x14ac:dyDescent="0.4">
      <c r="F19" s="9" t="s">
        <v>17</v>
      </c>
      <c r="G19" s="89">
        <f>SUM(G13:G17)</f>
        <v>424.8725</v>
      </c>
    </row>
    <row r="20" spans="1:9" ht="17.25" x14ac:dyDescent="0.4">
      <c r="G20" s="89"/>
    </row>
    <row r="21" spans="1:9" x14ac:dyDescent="0.25">
      <c r="A21" t="s">
        <v>144</v>
      </c>
    </row>
    <row r="22" spans="1:9" x14ac:dyDescent="0.25">
      <c r="B22" s="12" t="s">
        <v>123</v>
      </c>
      <c r="C22" s="87">
        <v>440916.42</v>
      </c>
      <c r="D22" s="87">
        <f ca="1">'Repairs &amp; Maintenance'!G53</f>
        <v>1500</v>
      </c>
      <c r="E22" s="87">
        <f ca="1">D22*0.5</f>
        <v>750</v>
      </c>
      <c r="F22" s="112">
        <v>0</v>
      </c>
      <c r="G22" s="87">
        <f ca="1">(C22+E22)*F22</f>
        <v>0</v>
      </c>
      <c r="H22" s="87"/>
      <c r="I22" s="87">
        <f ca="1">C22+D22-G22</f>
        <v>442416.42</v>
      </c>
    </row>
    <row r="24" spans="1:9" x14ac:dyDescent="0.25">
      <c r="B24" t="s">
        <v>120</v>
      </c>
      <c r="C24" s="12">
        <v>3650.65</v>
      </c>
      <c r="D24" s="87">
        <f ca="1">'Repairs &amp; Maintenance'!G54</f>
        <v>2000</v>
      </c>
      <c r="E24" s="87">
        <f ca="1">D24*0.5</f>
        <v>1000</v>
      </c>
      <c r="F24" s="88">
        <v>0.2</v>
      </c>
      <c r="G24" s="87">
        <f ca="1">(C24+E24)*F24</f>
        <v>930.13</v>
      </c>
      <c r="H24" s="87"/>
      <c r="I24" s="87">
        <f ca="1">C24+D24-G24</f>
        <v>4720.5199999999995</v>
      </c>
    </row>
    <row r="26" spans="1:9" x14ac:dyDescent="0.25">
      <c r="B26" t="s">
        <v>124</v>
      </c>
      <c r="C26">
        <v>27.4</v>
      </c>
      <c r="D26" s="4">
        <f ca="1">'Repairs &amp; Maintenance'!G55</f>
        <v>0</v>
      </c>
      <c r="E26" s="87">
        <f ca="1">D26*0.5</f>
        <v>0</v>
      </c>
      <c r="F26" s="88">
        <v>0.3</v>
      </c>
      <c r="G26" s="87">
        <f ca="1">(C26+E26)*F26</f>
        <v>8.2199999999999989</v>
      </c>
      <c r="H26" s="87"/>
      <c r="I26" s="87">
        <f ca="1">C26+D26-G26</f>
        <v>19.18</v>
      </c>
    </row>
    <row r="28" spans="1:9" x14ac:dyDescent="0.25">
      <c r="B28" t="s">
        <v>121</v>
      </c>
      <c r="C28">
        <v>0.19</v>
      </c>
      <c r="D28" s="4">
        <f ca="1">'Repairs &amp; Maintenance'!G56</f>
        <v>0</v>
      </c>
      <c r="E28" s="87">
        <f ca="1">D28*0.5</f>
        <v>0</v>
      </c>
      <c r="F28" s="88">
        <v>0.55000000000000004</v>
      </c>
      <c r="G28" s="87">
        <f ca="1">(C28+E28)*F28</f>
        <v>0.10450000000000001</v>
      </c>
      <c r="H28" s="87"/>
      <c r="I28" s="87">
        <f ca="1">C28+D28-G28</f>
        <v>8.5499999999999993E-2</v>
      </c>
    </row>
    <row r="30" spans="1:9" ht="17.25" x14ac:dyDescent="0.4">
      <c r="F30" s="9" t="s">
        <v>17</v>
      </c>
      <c r="G30" s="89">
        <f ca="1">SUM(G24:G28)</f>
        <v>938.45450000000005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8"/>
  <sheetViews>
    <sheetView workbookViewId="0">
      <selection activeCell="L11" sqref="L11"/>
    </sheetView>
  </sheetViews>
  <sheetFormatPr defaultRowHeight="15" x14ac:dyDescent="0.25"/>
  <cols>
    <col min="3" max="3" width="11.5703125" bestFit="1" customWidth="1"/>
    <col min="4" max="4" width="15.28515625" customWidth="1"/>
    <col min="8" max="8" width="11.42578125" customWidth="1"/>
    <col min="9" max="9" width="11.28515625" customWidth="1"/>
  </cols>
  <sheetData>
    <row r="1" spans="2:11" x14ac:dyDescent="0.25">
      <c r="B1" s="2"/>
      <c r="C1" s="2"/>
      <c r="D1" s="2"/>
      <c r="E1" s="2"/>
      <c r="F1" s="2"/>
      <c r="G1" s="2"/>
      <c r="H1" s="2"/>
    </row>
    <row r="2" spans="2:11" x14ac:dyDescent="0.25">
      <c r="B2" s="9" t="s">
        <v>143</v>
      </c>
      <c r="C2" s="9"/>
      <c r="D2" s="9"/>
      <c r="E2" s="9"/>
      <c r="F2" s="9"/>
      <c r="G2" s="9" t="s">
        <v>144</v>
      </c>
      <c r="H2" s="9"/>
      <c r="I2" s="9"/>
      <c r="J2" s="9"/>
      <c r="K2" s="9"/>
    </row>
    <row r="3" spans="2:11" x14ac:dyDescent="0.25">
      <c r="B3" s="9" t="s">
        <v>0</v>
      </c>
      <c r="C3" s="9" t="s">
        <v>16</v>
      </c>
      <c r="D3" s="9" t="s">
        <v>19</v>
      </c>
      <c r="E3" s="9" t="s">
        <v>2</v>
      </c>
      <c r="F3" s="9"/>
      <c r="G3" s="9" t="s">
        <v>0</v>
      </c>
      <c r="H3" s="9" t="s">
        <v>15</v>
      </c>
      <c r="I3" s="9" t="s">
        <v>16</v>
      </c>
      <c r="J3" s="9" t="s">
        <v>2</v>
      </c>
      <c r="K3" s="9"/>
    </row>
    <row r="4" spans="2:11" x14ac:dyDescent="0.25">
      <c r="B4" t="s">
        <v>3</v>
      </c>
      <c r="C4">
        <v>925</v>
      </c>
      <c r="D4">
        <v>2075</v>
      </c>
      <c r="G4" t="s">
        <v>3</v>
      </c>
      <c r="H4">
        <v>1500</v>
      </c>
      <c r="I4">
        <v>1100</v>
      </c>
    </row>
    <row r="5" spans="2:11" x14ac:dyDescent="0.25">
      <c r="B5" t="s">
        <v>4</v>
      </c>
      <c r="C5">
        <v>925</v>
      </c>
      <c r="D5">
        <v>2075</v>
      </c>
      <c r="G5" t="s">
        <v>4</v>
      </c>
      <c r="H5">
        <v>1500</v>
      </c>
      <c r="I5">
        <v>1100</v>
      </c>
    </row>
    <row r="6" spans="2:11" x14ac:dyDescent="0.25">
      <c r="B6" t="s">
        <v>5</v>
      </c>
      <c r="C6">
        <v>925</v>
      </c>
      <c r="D6">
        <v>2075</v>
      </c>
      <c r="G6" t="s">
        <v>5</v>
      </c>
      <c r="H6">
        <v>1500</v>
      </c>
      <c r="I6">
        <v>1100</v>
      </c>
    </row>
    <row r="7" spans="2:11" x14ac:dyDescent="0.25">
      <c r="B7" t="s">
        <v>6</v>
      </c>
      <c r="C7">
        <v>925</v>
      </c>
      <c r="D7">
        <v>2075</v>
      </c>
      <c r="G7" t="s">
        <v>6</v>
      </c>
      <c r="H7">
        <v>1500</v>
      </c>
      <c r="I7">
        <v>1100</v>
      </c>
    </row>
    <row r="8" spans="2:11" x14ac:dyDescent="0.25">
      <c r="B8" t="s">
        <v>7</v>
      </c>
      <c r="C8">
        <v>925</v>
      </c>
      <c r="D8">
        <v>2075</v>
      </c>
      <c r="G8" t="s">
        <v>7</v>
      </c>
      <c r="H8">
        <v>1500</v>
      </c>
      <c r="I8">
        <v>1100</v>
      </c>
    </row>
    <row r="9" spans="2:11" x14ac:dyDescent="0.25">
      <c r="B9" t="s">
        <v>8</v>
      </c>
      <c r="C9">
        <v>925</v>
      </c>
      <c r="D9">
        <v>2075</v>
      </c>
      <c r="G9" t="s">
        <v>8</v>
      </c>
      <c r="H9" s="21">
        <v>0</v>
      </c>
      <c r="I9">
        <v>1100</v>
      </c>
    </row>
    <row r="10" spans="2:11" x14ac:dyDescent="0.25">
      <c r="B10" t="s">
        <v>9</v>
      </c>
      <c r="C10" s="21">
        <v>-72.69</v>
      </c>
      <c r="D10">
        <v>2075</v>
      </c>
      <c r="E10" s="21"/>
      <c r="G10" t="s">
        <v>9</v>
      </c>
      <c r="H10" s="21">
        <v>850</v>
      </c>
      <c r="I10">
        <v>1100</v>
      </c>
      <c r="J10" s="21"/>
    </row>
    <row r="11" spans="2:11" x14ac:dyDescent="0.25">
      <c r="B11" t="s">
        <v>10</v>
      </c>
      <c r="C11">
        <v>1200</v>
      </c>
      <c r="D11">
        <v>2075</v>
      </c>
      <c r="G11" t="s">
        <v>10</v>
      </c>
      <c r="H11" s="21">
        <v>1700</v>
      </c>
      <c r="I11">
        <v>1100</v>
      </c>
    </row>
    <row r="12" spans="2:11" x14ac:dyDescent="0.25">
      <c r="B12" t="s">
        <v>11</v>
      </c>
      <c r="C12">
        <v>1200</v>
      </c>
      <c r="D12">
        <v>2075</v>
      </c>
      <c r="G12" t="s">
        <v>11</v>
      </c>
      <c r="H12" s="21">
        <v>1700</v>
      </c>
      <c r="I12">
        <v>1100</v>
      </c>
    </row>
    <row r="13" spans="2:11" x14ac:dyDescent="0.25">
      <c r="B13" t="s">
        <v>12</v>
      </c>
      <c r="C13">
        <v>1200</v>
      </c>
      <c r="D13">
        <v>2075</v>
      </c>
      <c r="G13" t="s">
        <v>12</v>
      </c>
      <c r="H13" s="21">
        <v>1700</v>
      </c>
      <c r="I13">
        <v>1100</v>
      </c>
    </row>
    <row r="14" spans="2:11" x14ac:dyDescent="0.25">
      <c r="B14" t="s">
        <v>13</v>
      </c>
      <c r="C14" s="21">
        <v>1200</v>
      </c>
      <c r="D14" s="21">
        <f>1925+150</f>
        <v>2075</v>
      </c>
      <c r="G14" t="s">
        <v>13</v>
      </c>
      <c r="H14" s="21">
        <v>1700</v>
      </c>
      <c r="I14" s="21">
        <v>1100</v>
      </c>
    </row>
    <row r="15" spans="2:11" x14ac:dyDescent="0.25">
      <c r="B15" t="s">
        <v>14</v>
      </c>
      <c r="C15" s="82">
        <v>1200</v>
      </c>
      <c r="D15" s="82">
        <v>2075</v>
      </c>
      <c r="G15" t="s">
        <v>14</v>
      </c>
      <c r="H15" s="82">
        <v>0</v>
      </c>
      <c r="I15" s="82">
        <v>1100</v>
      </c>
    </row>
    <row r="16" spans="2:11" x14ac:dyDescent="0.25">
      <c r="B16" s="3" t="s">
        <v>17</v>
      </c>
      <c r="C16" s="3">
        <f>SUM(C4:C15)</f>
        <v>11477.310000000001</v>
      </c>
      <c r="D16" s="3">
        <f>SUM(D4:D15)</f>
        <v>24900</v>
      </c>
      <c r="G16" s="3" t="s">
        <v>17</v>
      </c>
      <c r="H16" s="3">
        <f>SUM(H4:H15)</f>
        <v>15150</v>
      </c>
      <c r="I16" s="3">
        <f>SUM(I4:I15)</f>
        <v>13200</v>
      </c>
    </row>
    <row r="18" spans="2:9" x14ac:dyDescent="0.25">
      <c r="B18" s="2" t="s">
        <v>18</v>
      </c>
      <c r="C18" s="2"/>
      <c r="D18" s="7">
        <f>D16+C16</f>
        <v>36377.31</v>
      </c>
      <c r="G18" s="2" t="s">
        <v>18</v>
      </c>
      <c r="H18" s="2"/>
      <c r="I18" s="7">
        <f>I16+H16</f>
        <v>28350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9"/>
  <sheetViews>
    <sheetView workbookViewId="0">
      <selection activeCell="D5" sqref="D5"/>
    </sheetView>
  </sheetViews>
  <sheetFormatPr defaultRowHeight="15" x14ac:dyDescent="0.25"/>
  <cols>
    <col min="4" max="4" width="27.42578125" customWidth="1"/>
  </cols>
  <sheetData>
    <row r="3" spans="2:4" x14ac:dyDescent="0.25">
      <c r="B3" t="s">
        <v>20</v>
      </c>
      <c r="C3" t="s">
        <v>21</v>
      </c>
      <c r="D3" t="s">
        <v>2</v>
      </c>
    </row>
    <row r="4" spans="2:4" x14ac:dyDescent="0.25">
      <c r="B4" s="21"/>
      <c r="C4" s="21"/>
    </row>
    <row r="5" spans="2:4" x14ac:dyDescent="0.25">
      <c r="B5" s="22">
        <v>45152</v>
      </c>
      <c r="C5" s="21">
        <v>100</v>
      </c>
    </row>
    <row r="7" spans="2:4" x14ac:dyDescent="0.25">
      <c r="C7" s="1"/>
    </row>
    <row r="9" spans="2:4" x14ac:dyDescent="0.25">
      <c r="B9" t="s">
        <v>17</v>
      </c>
      <c r="C9" s="9">
        <f>SUM(C5:C7)</f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3"/>
  <sheetViews>
    <sheetView workbookViewId="0">
      <selection activeCell="K11" sqref="K11"/>
    </sheetView>
  </sheetViews>
  <sheetFormatPr defaultRowHeight="15" x14ac:dyDescent="0.25"/>
  <cols>
    <col min="2" max="2" width="13.5703125" customWidth="1"/>
    <col min="3" max="3" width="10.5703125" bestFit="1" customWidth="1"/>
    <col min="5" max="5" width="13.28515625" customWidth="1"/>
    <col min="6" max="6" width="10.5703125" bestFit="1" customWidth="1"/>
    <col min="9" max="9" width="10.5703125" bestFit="1" customWidth="1"/>
  </cols>
  <sheetData>
    <row r="2" spans="2:9" x14ac:dyDescent="0.25">
      <c r="B2" t="s">
        <v>143</v>
      </c>
      <c r="E2" t="s">
        <v>144</v>
      </c>
      <c r="I2" t="s">
        <v>81</v>
      </c>
    </row>
    <row r="4" spans="2:9" x14ac:dyDescent="0.25">
      <c r="B4" t="s">
        <v>3</v>
      </c>
      <c r="C4" s="12">
        <v>250</v>
      </c>
      <c r="D4" s="12"/>
      <c r="E4" s="12" t="s">
        <v>3</v>
      </c>
      <c r="F4" s="12">
        <v>150</v>
      </c>
      <c r="G4" s="12"/>
    </row>
    <row r="5" spans="2:9" x14ac:dyDescent="0.25">
      <c r="B5" t="s">
        <v>4</v>
      </c>
      <c r="C5" s="12">
        <v>250</v>
      </c>
      <c r="D5" s="12"/>
      <c r="E5" s="12" t="s">
        <v>4</v>
      </c>
      <c r="F5" s="12">
        <v>150</v>
      </c>
      <c r="G5" s="12"/>
    </row>
    <row r="6" spans="2:9" x14ac:dyDescent="0.25">
      <c r="B6" t="s">
        <v>5</v>
      </c>
      <c r="C6" s="12">
        <v>250</v>
      </c>
      <c r="D6" s="12"/>
      <c r="E6" s="12" t="s">
        <v>5</v>
      </c>
      <c r="F6" s="12">
        <v>150</v>
      </c>
      <c r="G6" s="12"/>
    </row>
    <row r="7" spans="2:9" x14ac:dyDescent="0.25">
      <c r="B7" t="s">
        <v>6</v>
      </c>
      <c r="C7" s="12">
        <v>250</v>
      </c>
      <c r="D7" s="12"/>
      <c r="E7" s="12" t="s">
        <v>6</v>
      </c>
      <c r="F7" s="12">
        <v>150</v>
      </c>
      <c r="G7" s="12"/>
    </row>
    <row r="8" spans="2:9" x14ac:dyDescent="0.25">
      <c r="B8" t="s">
        <v>7</v>
      </c>
      <c r="C8" s="12">
        <v>250</v>
      </c>
      <c r="D8" s="12"/>
      <c r="E8" s="12" t="s">
        <v>7</v>
      </c>
      <c r="F8" s="12">
        <v>150</v>
      </c>
      <c r="G8" s="12"/>
    </row>
    <row r="9" spans="2:9" x14ac:dyDescent="0.25">
      <c r="B9" t="s">
        <v>8</v>
      </c>
      <c r="C9" s="12">
        <v>250</v>
      </c>
      <c r="D9" s="12"/>
      <c r="E9" s="12" t="s">
        <v>8</v>
      </c>
      <c r="F9" s="12">
        <v>150</v>
      </c>
      <c r="G9" s="12"/>
    </row>
    <row r="10" spans="2:9" x14ac:dyDescent="0.25">
      <c r="B10" t="s">
        <v>9</v>
      </c>
      <c r="C10" s="12">
        <v>250</v>
      </c>
      <c r="D10" s="12"/>
      <c r="E10" s="12" t="s">
        <v>9</v>
      </c>
      <c r="F10" s="12">
        <v>150</v>
      </c>
      <c r="G10" s="12"/>
    </row>
    <row r="11" spans="2:9" x14ac:dyDescent="0.25">
      <c r="B11" t="s">
        <v>10</v>
      </c>
      <c r="C11" s="12">
        <v>250</v>
      </c>
      <c r="D11" s="12"/>
      <c r="E11" s="12" t="s">
        <v>10</v>
      </c>
      <c r="F11" s="12">
        <v>150</v>
      </c>
      <c r="G11" s="12"/>
    </row>
    <row r="12" spans="2:9" x14ac:dyDescent="0.25">
      <c r="B12" t="s">
        <v>11</v>
      </c>
      <c r="C12" s="12">
        <v>250</v>
      </c>
      <c r="D12" s="12"/>
      <c r="E12" s="12" t="s">
        <v>11</v>
      </c>
      <c r="F12" s="12">
        <v>150</v>
      </c>
      <c r="G12" s="12"/>
    </row>
    <row r="13" spans="2:9" x14ac:dyDescent="0.25">
      <c r="B13" t="s">
        <v>12</v>
      </c>
      <c r="C13" s="12">
        <v>250</v>
      </c>
      <c r="D13" s="12"/>
      <c r="E13" s="12" t="s">
        <v>12</v>
      </c>
      <c r="F13" s="12">
        <v>150</v>
      </c>
      <c r="G13" s="12"/>
    </row>
    <row r="14" spans="2:9" x14ac:dyDescent="0.25">
      <c r="B14" t="s">
        <v>13</v>
      </c>
      <c r="C14" s="12">
        <v>250</v>
      </c>
      <c r="D14" s="12"/>
      <c r="E14" s="12" t="s">
        <v>13</v>
      </c>
      <c r="F14" s="12">
        <v>150</v>
      </c>
      <c r="G14" s="12"/>
    </row>
    <row r="15" spans="2:9" ht="15.75" thickBot="1" x14ac:dyDescent="0.3">
      <c r="B15" t="s">
        <v>14</v>
      </c>
      <c r="C15" s="12">
        <v>250</v>
      </c>
      <c r="D15" s="12"/>
      <c r="E15" s="12" t="s">
        <v>14</v>
      </c>
      <c r="F15" s="12">
        <v>150</v>
      </c>
      <c r="G15" s="12"/>
    </row>
    <row r="16" spans="2:9" ht="15.75" thickBot="1" x14ac:dyDescent="0.3">
      <c r="B16" s="2" t="s">
        <v>17</v>
      </c>
      <c r="C16" s="65">
        <f>SUM(C4:C15)</f>
        <v>3000</v>
      </c>
      <c r="D16" s="12"/>
      <c r="E16" s="3" t="s">
        <v>17</v>
      </c>
      <c r="F16" s="65">
        <f>SUM(F4:F15)</f>
        <v>1800</v>
      </c>
      <c r="G16" s="12"/>
      <c r="I16" s="90">
        <f>C16+F16</f>
        <v>4800</v>
      </c>
    </row>
    <row r="17" spans="2:9" x14ac:dyDescent="0.25">
      <c r="C17" s="12"/>
      <c r="D17" s="12"/>
      <c r="E17" s="12"/>
      <c r="F17" s="12"/>
      <c r="G17" s="12"/>
    </row>
    <row r="18" spans="2:9" ht="15.75" thickBot="1" x14ac:dyDescent="0.3">
      <c r="C18" s="12"/>
      <c r="D18" s="12"/>
      <c r="E18" s="12"/>
      <c r="F18" s="12"/>
      <c r="G18" s="12"/>
    </row>
    <row r="19" spans="2:9" ht="15.75" thickBot="1" x14ac:dyDescent="0.3">
      <c r="B19" t="s">
        <v>37</v>
      </c>
      <c r="C19" s="65">
        <f>-C16*(4/15)</f>
        <v>-800</v>
      </c>
      <c r="D19" s="12"/>
      <c r="E19" s="12" t="s">
        <v>37</v>
      </c>
      <c r="F19" s="65">
        <v>0</v>
      </c>
      <c r="G19" s="12"/>
      <c r="I19" s="90">
        <f>C19+F19</f>
        <v>-800</v>
      </c>
    </row>
    <row r="20" spans="2:9" x14ac:dyDescent="0.25">
      <c r="C20" s="12"/>
      <c r="D20" s="12"/>
      <c r="E20" s="12"/>
      <c r="F20" s="12"/>
      <c r="G20" s="12"/>
    </row>
    <row r="21" spans="2:9" ht="15.75" thickBot="1" x14ac:dyDescent="0.3">
      <c r="C21" s="12"/>
      <c r="D21" s="12"/>
      <c r="E21" s="12"/>
      <c r="F21" s="12"/>
      <c r="G21" s="12"/>
    </row>
    <row r="22" spans="2:9" ht="15.75" thickBot="1" x14ac:dyDescent="0.3">
      <c r="B22" t="s">
        <v>38</v>
      </c>
      <c r="C22" s="65">
        <f>C16+C19</f>
        <v>2200</v>
      </c>
      <c r="D22" s="12"/>
      <c r="E22" s="12" t="s">
        <v>38</v>
      </c>
      <c r="F22" s="65">
        <f>F16+F19</f>
        <v>1800</v>
      </c>
      <c r="G22" s="12"/>
      <c r="I22" s="90">
        <f>C22+F22</f>
        <v>4000</v>
      </c>
    </row>
    <row r="23" spans="2:9" x14ac:dyDescent="0.25">
      <c r="C23" s="12"/>
      <c r="D23" s="12"/>
      <c r="E23" s="12"/>
      <c r="F23" s="12"/>
      <c r="G23" s="1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2"/>
  <sheetViews>
    <sheetView workbookViewId="0">
      <selection activeCell="J21" sqref="J21"/>
    </sheetView>
  </sheetViews>
  <sheetFormatPr defaultRowHeight="15" x14ac:dyDescent="0.25"/>
  <cols>
    <col min="2" max="2" width="18" customWidth="1"/>
    <col min="3" max="3" width="10.5703125" bestFit="1" customWidth="1"/>
    <col min="5" max="5" width="16.85546875" bestFit="1" customWidth="1"/>
    <col min="6" max="6" width="10.5703125" bestFit="1" customWidth="1"/>
    <col min="9" max="9" width="11.5703125" bestFit="1" customWidth="1"/>
  </cols>
  <sheetData>
    <row r="2" spans="2:9" x14ac:dyDescent="0.25">
      <c r="B2" t="s">
        <v>143</v>
      </c>
      <c r="E2" t="s">
        <v>144</v>
      </c>
      <c r="I2" t="s">
        <v>145</v>
      </c>
    </row>
    <row r="5" spans="2:9" ht="15.75" thickBot="1" x14ac:dyDescent="0.3"/>
    <row r="6" spans="2:9" ht="15.75" thickBot="1" x14ac:dyDescent="0.3">
      <c r="B6" s="2" t="s">
        <v>39</v>
      </c>
      <c r="C6" s="65">
        <v>5000</v>
      </c>
      <c r="E6" s="2" t="s">
        <v>39</v>
      </c>
      <c r="F6" s="65">
        <v>6500</v>
      </c>
      <c r="I6" s="65">
        <f>C6+F6</f>
        <v>11500</v>
      </c>
    </row>
    <row r="8" spans="2:9" ht="15.75" thickBot="1" x14ac:dyDescent="0.3"/>
    <row r="9" spans="2:9" ht="15.75" thickBot="1" x14ac:dyDescent="0.3">
      <c r="B9" t="s">
        <v>37</v>
      </c>
      <c r="C9" s="65">
        <f>-C6*(4/15)</f>
        <v>-1333.3333333333333</v>
      </c>
      <c r="E9" t="s">
        <v>37</v>
      </c>
      <c r="F9" s="65">
        <v>0</v>
      </c>
      <c r="I9" s="65">
        <f>C9+F9</f>
        <v>-1333.3333333333333</v>
      </c>
    </row>
    <row r="11" spans="2:9" ht="15.75" thickBot="1" x14ac:dyDescent="0.3"/>
    <row r="12" spans="2:9" ht="15.75" thickBot="1" x14ac:dyDescent="0.3">
      <c r="B12" t="s">
        <v>38</v>
      </c>
      <c r="C12" s="65">
        <f>C6+C9</f>
        <v>3666.666666666667</v>
      </c>
      <c r="E12" t="s">
        <v>38</v>
      </c>
      <c r="F12" s="65">
        <f>F6+F9</f>
        <v>6500</v>
      </c>
      <c r="I12" s="65">
        <f>C12+F12</f>
        <v>10166.666666666668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9"/>
  <sheetViews>
    <sheetView workbookViewId="0">
      <selection activeCell="F15" sqref="F15"/>
    </sheetView>
  </sheetViews>
  <sheetFormatPr defaultRowHeight="15" x14ac:dyDescent="0.25"/>
  <cols>
    <col min="1" max="1" width="12.28515625" style="12" customWidth="1"/>
    <col min="2" max="2" width="10.42578125" style="12" bestFit="1" customWidth="1"/>
    <col min="3" max="3" width="13" style="12" customWidth="1"/>
    <col min="4" max="4" width="10.5703125" style="12" bestFit="1" customWidth="1"/>
    <col min="5" max="6" width="9.140625" style="12"/>
    <col min="7" max="7" width="9.28515625" style="80" bestFit="1" customWidth="1"/>
    <col min="8" max="9" width="9.140625" style="12"/>
    <col min="10" max="10" width="15.28515625" style="12" customWidth="1"/>
    <col min="11" max="11" width="10.5703125" style="12" bestFit="1" customWidth="1"/>
    <col min="12" max="12" width="9.140625" style="12"/>
    <col min="13" max="13" width="22.7109375" style="12" bestFit="1" customWidth="1"/>
    <col min="14" max="14" width="12" style="12" customWidth="1"/>
    <col min="15" max="16384" width="9.140625" style="12"/>
  </cols>
  <sheetData>
    <row r="3" spans="1:14" x14ac:dyDescent="0.25">
      <c r="A3" s="12" t="s">
        <v>1</v>
      </c>
      <c r="B3" s="12" t="s">
        <v>20</v>
      </c>
      <c r="C3" s="12" t="s">
        <v>41</v>
      </c>
      <c r="D3" s="12" t="s">
        <v>42</v>
      </c>
      <c r="E3" s="12" t="s">
        <v>2</v>
      </c>
      <c r="G3" s="80" t="s">
        <v>70</v>
      </c>
      <c r="J3" s="12" t="s">
        <v>146</v>
      </c>
      <c r="M3" s="12" t="s">
        <v>147</v>
      </c>
    </row>
    <row r="4" spans="1:14" x14ac:dyDescent="0.25">
      <c r="A4" s="12" t="s">
        <v>149</v>
      </c>
      <c r="B4" s="13">
        <v>44930</v>
      </c>
      <c r="C4" s="12" t="s">
        <v>151</v>
      </c>
      <c r="D4" s="12">
        <v>120</v>
      </c>
      <c r="E4" s="12" t="s">
        <v>152</v>
      </c>
      <c r="G4" s="80">
        <v>0</v>
      </c>
    </row>
    <row r="5" spans="1:14" x14ac:dyDescent="0.25">
      <c r="A5" s="12" t="s">
        <v>149</v>
      </c>
      <c r="B5" s="13">
        <v>44940</v>
      </c>
      <c r="C5" s="12" t="s">
        <v>151</v>
      </c>
      <c r="D5" s="12">
        <v>11.84</v>
      </c>
      <c r="E5" s="12" t="s">
        <v>152</v>
      </c>
      <c r="G5" s="80">
        <f>2.7*2</f>
        <v>5.4</v>
      </c>
      <c r="J5" s="12" t="s">
        <v>3</v>
      </c>
      <c r="K5" s="12">
        <v>80</v>
      </c>
      <c r="M5" s="12" t="s">
        <v>3</v>
      </c>
      <c r="N5" s="12">
        <v>90</v>
      </c>
    </row>
    <row r="6" spans="1:14" x14ac:dyDescent="0.25">
      <c r="A6" s="12" t="s">
        <v>150</v>
      </c>
      <c r="B6" s="13">
        <v>45051</v>
      </c>
      <c r="C6" s="12" t="s">
        <v>151</v>
      </c>
      <c r="D6" s="12">
        <v>87.17</v>
      </c>
      <c r="E6" s="12" t="s">
        <v>152</v>
      </c>
      <c r="G6" s="80">
        <f>9.8*2</f>
        <v>19.600000000000001</v>
      </c>
      <c r="J6" s="12" t="s">
        <v>4</v>
      </c>
      <c r="K6" s="12">
        <v>80</v>
      </c>
      <c r="M6" s="12" t="s">
        <v>4</v>
      </c>
      <c r="N6" s="12">
        <v>90</v>
      </c>
    </row>
    <row r="7" spans="1:14" x14ac:dyDescent="0.25">
      <c r="A7" s="12" t="s">
        <v>149</v>
      </c>
      <c r="B7" s="13">
        <v>45219</v>
      </c>
      <c r="C7" s="12" t="s">
        <v>151</v>
      </c>
      <c r="D7" s="12">
        <v>6.5</v>
      </c>
      <c r="E7" s="12" t="s">
        <v>152</v>
      </c>
      <c r="G7" s="80">
        <v>0</v>
      </c>
      <c r="J7" s="12" t="s">
        <v>5</v>
      </c>
      <c r="K7" s="12">
        <v>80</v>
      </c>
      <c r="M7" s="12" t="s">
        <v>5</v>
      </c>
      <c r="N7" s="12">
        <v>90</v>
      </c>
    </row>
    <row r="8" spans="1:14" x14ac:dyDescent="0.25">
      <c r="A8" s="12" t="s">
        <v>150</v>
      </c>
      <c r="B8" s="13">
        <v>45645</v>
      </c>
      <c r="C8" s="12" t="s">
        <v>151</v>
      </c>
      <c r="D8" s="12">
        <v>19.89</v>
      </c>
      <c r="E8" s="12" t="s">
        <v>152</v>
      </c>
      <c r="J8" s="12" t="s">
        <v>6</v>
      </c>
      <c r="K8" s="12">
        <v>80</v>
      </c>
      <c r="M8" s="12" t="s">
        <v>6</v>
      </c>
      <c r="N8" s="12">
        <v>90</v>
      </c>
    </row>
    <row r="9" spans="1:14" x14ac:dyDescent="0.25">
      <c r="A9" s="12" t="s">
        <v>149</v>
      </c>
      <c r="B9" s="13">
        <v>45655</v>
      </c>
      <c r="C9" s="12" t="s">
        <v>151</v>
      </c>
      <c r="D9" s="12">
        <v>240</v>
      </c>
      <c r="E9" s="12" t="s">
        <v>152</v>
      </c>
      <c r="J9" s="12" t="s">
        <v>7</v>
      </c>
      <c r="K9" s="12">
        <v>80</v>
      </c>
      <c r="M9" s="12" t="s">
        <v>7</v>
      </c>
      <c r="N9" s="12">
        <v>90</v>
      </c>
    </row>
    <row r="10" spans="1:14" x14ac:dyDescent="0.25">
      <c r="A10" s="12" t="s">
        <v>150</v>
      </c>
      <c r="B10" s="13">
        <v>45657</v>
      </c>
      <c r="C10" s="12" t="s">
        <v>151</v>
      </c>
      <c r="D10" s="12">
        <v>18.39</v>
      </c>
      <c r="E10" s="12" t="s">
        <v>152</v>
      </c>
      <c r="G10" s="80">
        <f>2.7*2</f>
        <v>5.4</v>
      </c>
      <c r="J10" s="12" t="s">
        <v>8</v>
      </c>
      <c r="K10" s="12">
        <v>80</v>
      </c>
      <c r="M10" s="12" t="s">
        <v>8</v>
      </c>
      <c r="N10" s="12">
        <v>90</v>
      </c>
    </row>
    <row r="11" spans="1:14" x14ac:dyDescent="0.25">
      <c r="B11" s="83"/>
      <c r="J11" s="12" t="s">
        <v>9</v>
      </c>
      <c r="K11" s="12">
        <v>80</v>
      </c>
      <c r="M11" s="12" t="s">
        <v>9</v>
      </c>
      <c r="N11" s="12">
        <v>90</v>
      </c>
    </row>
    <row r="12" spans="1:14" x14ac:dyDescent="0.25">
      <c r="B12" s="83"/>
      <c r="J12" s="12" t="s">
        <v>10</v>
      </c>
      <c r="K12" s="12">
        <v>80</v>
      </c>
      <c r="M12" s="12" t="s">
        <v>10</v>
      </c>
      <c r="N12" s="12">
        <v>90</v>
      </c>
    </row>
    <row r="13" spans="1:14" x14ac:dyDescent="0.25">
      <c r="D13" s="18"/>
      <c r="G13" s="115"/>
      <c r="J13" s="12" t="s">
        <v>11</v>
      </c>
      <c r="K13" s="12">
        <v>80</v>
      </c>
      <c r="M13" s="12" t="s">
        <v>11</v>
      </c>
      <c r="N13" s="12">
        <v>90</v>
      </c>
    </row>
    <row r="14" spans="1:14" x14ac:dyDescent="0.25">
      <c r="B14" s="12" t="s">
        <v>17</v>
      </c>
      <c r="D14" s="24">
        <f>SUM(D4:D10)</f>
        <v>503.78999999999996</v>
      </c>
      <c r="G14" s="116">
        <f>SUM(G4:G13)</f>
        <v>30.4</v>
      </c>
      <c r="J14" s="12" t="s">
        <v>12</v>
      </c>
      <c r="K14" s="12">
        <v>80</v>
      </c>
      <c r="M14" s="12" t="s">
        <v>12</v>
      </c>
      <c r="N14" s="12">
        <v>90</v>
      </c>
    </row>
    <row r="15" spans="1:14" x14ac:dyDescent="0.25">
      <c r="J15" s="12" t="s">
        <v>13</v>
      </c>
      <c r="K15" s="12">
        <v>80</v>
      </c>
      <c r="M15" s="12" t="s">
        <v>13</v>
      </c>
      <c r="N15" s="12">
        <v>90</v>
      </c>
    </row>
    <row r="16" spans="1:14" ht="15.75" thickBot="1" x14ac:dyDescent="0.3">
      <c r="J16" s="12" t="s">
        <v>14</v>
      </c>
      <c r="K16" s="12">
        <v>80</v>
      </c>
      <c r="M16" s="12" t="s">
        <v>14</v>
      </c>
      <c r="N16" s="12">
        <v>90</v>
      </c>
    </row>
    <row r="17" spans="2:14" ht="15.75" thickBot="1" x14ac:dyDescent="0.3">
      <c r="J17" s="3" t="s">
        <v>17</v>
      </c>
      <c r="K17" s="65">
        <f>SUM(K5:K16)</f>
        <v>960</v>
      </c>
      <c r="M17" s="3" t="s">
        <v>17</v>
      </c>
      <c r="N17" s="65">
        <f>SUM(N5:N16)</f>
        <v>1080</v>
      </c>
    </row>
    <row r="18" spans="2:14" ht="15.75" thickBot="1" x14ac:dyDescent="0.3"/>
    <row r="19" spans="2:14" ht="15.75" thickBot="1" x14ac:dyDescent="0.3">
      <c r="B19" s="12" t="s">
        <v>82</v>
      </c>
      <c r="D19" s="65">
        <f>D14+K17+N17</f>
        <v>2543.79</v>
      </c>
    </row>
    <row r="20" spans="2:14" ht="15.75" thickBot="1" x14ac:dyDescent="0.3">
      <c r="J20" s="12" t="s">
        <v>37</v>
      </c>
      <c r="K20" s="65">
        <f>-K17*0.5</f>
        <v>-480</v>
      </c>
      <c r="M20" s="12" t="s">
        <v>37</v>
      </c>
      <c r="N20" s="65">
        <f>-N17*0.5</f>
        <v>-540</v>
      </c>
    </row>
    <row r="22" spans="2:14" ht="15.75" thickBot="1" x14ac:dyDescent="0.3">
      <c r="B22" s="12" t="s">
        <v>83</v>
      </c>
      <c r="D22" s="12">
        <f>K20+N20</f>
        <v>-1020</v>
      </c>
    </row>
    <row r="23" spans="2:14" ht="15.75" thickBot="1" x14ac:dyDescent="0.3">
      <c r="J23" s="12" t="s">
        <v>38</v>
      </c>
      <c r="K23" s="65">
        <f>K17+K20</f>
        <v>480</v>
      </c>
      <c r="M23" s="12" t="s">
        <v>38</v>
      </c>
      <c r="N23" s="65">
        <f>N17+N20</f>
        <v>540</v>
      </c>
    </row>
    <row r="24" spans="2:14" ht="15.75" thickBot="1" x14ac:dyDescent="0.3"/>
    <row r="25" spans="2:14" ht="15.75" thickBot="1" x14ac:dyDescent="0.3">
      <c r="B25" s="12" t="s">
        <v>84</v>
      </c>
      <c r="D25" s="113">
        <f>D19+D22</f>
        <v>1523.79</v>
      </c>
    </row>
    <row r="27" spans="2:14" x14ac:dyDescent="0.25">
      <c r="J27" s="12" t="s">
        <v>40</v>
      </c>
      <c r="K27" s="12">
        <f>K23+N23</f>
        <v>1020</v>
      </c>
      <c r="L27" s="66" t="s">
        <v>51</v>
      </c>
    </row>
    <row r="29" spans="2:14" x14ac:dyDescent="0.25">
      <c r="J29" s="12" t="s">
        <v>148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0"/>
  <sheetViews>
    <sheetView workbookViewId="0">
      <selection activeCell="O19" sqref="O19"/>
    </sheetView>
  </sheetViews>
  <sheetFormatPr defaultRowHeight="15" x14ac:dyDescent="0.25"/>
  <sheetData>
    <row r="2" spans="1:4" x14ac:dyDescent="0.25">
      <c r="A2" t="s">
        <v>1</v>
      </c>
      <c r="B2" t="s">
        <v>43</v>
      </c>
      <c r="C2" t="s">
        <v>41</v>
      </c>
      <c r="D2" t="s">
        <v>42</v>
      </c>
    </row>
    <row r="4" spans="1:4" x14ac:dyDescent="0.25">
      <c r="B4" s="10">
        <v>45031</v>
      </c>
      <c r="C4" t="s">
        <v>151</v>
      </c>
      <c r="D4">
        <v>488.75</v>
      </c>
    </row>
    <row r="9" spans="1:4" x14ac:dyDescent="0.25">
      <c r="D9" s="1"/>
    </row>
    <row r="10" spans="1:4" x14ac:dyDescent="0.25">
      <c r="B10" t="s">
        <v>17</v>
      </c>
      <c r="D10">
        <f>SUM(D3:D9)</f>
        <v>488.75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E18" sqref="E18"/>
    </sheetView>
  </sheetViews>
  <sheetFormatPr defaultRowHeight="15" x14ac:dyDescent="0.25"/>
  <cols>
    <col min="3" max="3" width="16" customWidth="1"/>
  </cols>
  <sheetData>
    <row r="1" spans="1:6" x14ac:dyDescent="0.25">
      <c r="A1" t="s">
        <v>1</v>
      </c>
      <c r="B1" t="s">
        <v>43</v>
      </c>
      <c r="C1" t="s">
        <v>41</v>
      </c>
      <c r="D1" t="s">
        <v>42</v>
      </c>
      <c r="F1" t="s">
        <v>70</v>
      </c>
    </row>
    <row r="3" spans="1:6" x14ac:dyDescent="0.25">
      <c r="A3" t="s">
        <v>149</v>
      </c>
      <c r="B3" s="10">
        <v>45413</v>
      </c>
      <c r="C3" t="s">
        <v>109</v>
      </c>
      <c r="D3">
        <v>85</v>
      </c>
      <c r="F3">
        <v>0</v>
      </c>
    </row>
    <row r="4" spans="1:6" x14ac:dyDescent="0.25">
      <c r="A4" t="s">
        <v>149</v>
      </c>
      <c r="B4" s="10">
        <v>45413</v>
      </c>
      <c r="C4" t="s">
        <v>109</v>
      </c>
      <c r="D4">
        <v>41.75</v>
      </c>
      <c r="F4">
        <v>0</v>
      </c>
    </row>
    <row r="5" spans="1:6" x14ac:dyDescent="0.25">
      <c r="A5" t="s">
        <v>149</v>
      </c>
      <c r="B5" s="10">
        <v>45536</v>
      </c>
      <c r="C5" t="s">
        <v>109</v>
      </c>
      <c r="D5">
        <v>41.75</v>
      </c>
    </row>
    <row r="8" spans="1:6" x14ac:dyDescent="0.25">
      <c r="D8" s="1"/>
      <c r="F8" s="1"/>
    </row>
    <row r="9" spans="1:6" x14ac:dyDescent="0.25">
      <c r="B9" t="s">
        <v>17</v>
      </c>
      <c r="D9">
        <f>SUM(D2:D8)</f>
        <v>168.5</v>
      </c>
      <c r="F9">
        <f>SUM(F2:F8)</f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93"/>
  <sheetViews>
    <sheetView topLeftCell="B1" workbookViewId="0">
      <selection activeCell="H26" sqref="H26"/>
    </sheetView>
  </sheetViews>
  <sheetFormatPr defaultRowHeight="15" x14ac:dyDescent="0.25"/>
  <cols>
    <col min="1" max="1" width="5.140625" customWidth="1"/>
    <col min="2" max="2" width="14.5703125" customWidth="1"/>
    <col min="3" max="3" width="10.7109375" bestFit="1" customWidth="1"/>
    <col min="4" max="4" width="42.28515625" style="12" customWidth="1"/>
    <col min="5" max="5" width="11.5703125" style="12" bestFit="1" customWidth="1"/>
    <col min="6" max="6" width="11.5703125" style="98" customWidth="1"/>
    <col min="7" max="7" width="13.85546875" style="12" customWidth="1"/>
    <col min="14" max="14" width="20" customWidth="1"/>
  </cols>
  <sheetData>
    <row r="2" spans="2:15" x14ac:dyDescent="0.25">
      <c r="B2" t="s">
        <v>1</v>
      </c>
      <c r="C2" t="s">
        <v>44</v>
      </c>
      <c r="D2" s="12" t="s">
        <v>41</v>
      </c>
      <c r="E2" s="12" t="s">
        <v>45</v>
      </c>
      <c r="F2" s="98" t="s">
        <v>135</v>
      </c>
      <c r="G2" s="12" t="s">
        <v>46</v>
      </c>
      <c r="H2" t="s">
        <v>47</v>
      </c>
      <c r="O2" t="s">
        <v>48</v>
      </c>
    </row>
    <row r="3" spans="2:15" x14ac:dyDescent="0.25">
      <c r="B3" t="s">
        <v>149</v>
      </c>
      <c r="C3" s="10">
        <v>45035</v>
      </c>
      <c r="D3" s="12" t="s">
        <v>151</v>
      </c>
      <c r="E3" s="12">
        <v>44.06</v>
      </c>
      <c r="H3" t="s">
        <v>108</v>
      </c>
    </row>
    <row r="4" spans="2:15" x14ac:dyDescent="0.25">
      <c r="B4" t="s">
        <v>149</v>
      </c>
      <c r="C4" s="10">
        <v>45045</v>
      </c>
      <c r="D4" s="12" t="s">
        <v>151</v>
      </c>
      <c r="E4" s="12">
        <v>35.479999999999997</v>
      </c>
      <c r="H4" t="s">
        <v>85</v>
      </c>
      <c r="O4" s="8">
        <f t="shared" ref="O4:O10" si="0">8.8*2</f>
        <v>17.600000000000001</v>
      </c>
    </row>
    <row r="5" spans="2:15" x14ac:dyDescent="0.25">
      <c r="B5" t="s">
        <v>149</v>
      </c>
      <c r="C5" s="10">
        <v>45107</v>
      </c>
      <c r="D5" s="12" t="s">
        <v>151</v>
      </c>
      <c r="E5" s="12">
        <v>33.880000000000003</v>
      </c>
      <c r="H5" t="s">
        <v>86</v>
      </c>
      <c r="O5">
        <f>23.2*2</f>
        <v>46.4</v>
      </c>
    </row>
    <row r="6" spans="2:15" x14ac:dyDescent="0.25">
      <c r="B6" t="s">
        <v>150</v>
      </c>
      <c r="C6" s="10">
        <v>45107</v>
      </c>
      <c r="D6" s="12" t="s">
        <v>151</v>
      </c>
      <c r="E6" s="12">
        <v>57.08</v>
      </c>
      <c r="H6" t="s">
        <v>87</v>
      </c>
      <c r="O6" s="8">
        <f t="shared" si="0"/>
        <v>17.600000000000001</v>
      </c>
    </row>
    <row r="7" spans="2:15" x14ac:dyDescent="0.25">
      <c r="B7" t="s">
        <v>150</v>
      </c>
      <c r="C7" s="10">
        <v>45115</v>
      </c>
      <c r="D7" s="12" t="s">
        <v>151</v>
      </c>
      <c r="E7" s="12">
        <v>-18.559999999999999</v>
      </c>
      <c r="H7" t="s">
        <v>88</v>
      </c>
      <c r="O7" s="8">
        <v>0</v>
      </c>
    </row>
    <row r="8" spans="2:15" x14ac:dyDescent="0.25">
      <c r="B8" t="s">
        <v>149</v>
      </c>
      <c r="C8" s="10">
        <v>45116</v>
      </c>
      <c r="D8" s="12" t="s">
        <v>151</v>
      </c>
      <c r="E8" s="12">
        <v>709.18</v>
      </c>
      <c r="F8" s="98">
        <v>1</v>
      </c>
      <c r="G8" s="12">
        <v>1000</v>
      </c>
      <c r="H8" t="s">
        <v>160</v>
      </c>
      <c r="O8" s="8">
        <f t="shared" si="0"/>
        <v>17.600000000000001</v>
      </c>
    </row>
    <row r="9" spans="2:15" x14ac:dyDescent="0.25">
      <c r="B9" t="s">
        <v>150</v>
      </c>
      <c r="C9" s="13">
        <v>45116</v>
      </c>
      <c r="D9" s="12" t="s">
        <v>151</v>
      </c>
      <c r="E9" s="14">
        <v>65.88</v>
      </c>
      <c r="F9" s="99"/>
      <c r="G9" s="14"/>
      <c r="H9" s="15" t="s">
        <v>89</v>
      </c>
      <c r="O9" s="8">
        <f t="shared" si="0"/>
        <v>17.600000000000001</v>
      </c>
    </row>
    <row r="10" spans="2:15" x14ac:dyDescent="0.25">
      <c r="B10" t="s">
        <v>150</v>
      </c>
      <c r="C10" s="13">
        <v>45141</v>
      </c>
      <c r="D10" s="12" t="s">
        <v>151</v>
      </c>
      <c r="E10" s="14">
        <v>29.1</v>
      </c>
      <c r="F10" s="99"/>
      <c r="G10" s="14"/>
      <c r="H10" s="15" t="s">
        <v>97</v>
      </c>
      <c r="O10" s="8">
        <f t="shared" si="0"/>
        <v>17.600000000000001</v>
      </c>
    </row>
    <row r="11" spans="2:15" x14ac:dyDescent="0.25">
      <c r="C11" s="13"/>
      <c r="E11" s="14"/>
      <c r="F11" s="99"/>
      <c r="G11" s="14"/>
      <c r="H11" s="15"/>
    </row>
    <row r="12" spans="2:15" x14ac:dyDescent="0.25">
      <c r="C12" s="13"/>
      <c r="E12" s="14"/>
      <c r="F12" s="99"/>
      <c r="G12" s="14"/>
      <c r="H12" s="15"/>
      <c r="O12" s="8"/>
    </row>
    <row r="13" spans="2:15" x14ac:dyDescent="0.25">
      <c r="B13" t="s">
        <v>150</v>
      </c>
      <c r="C13" s="13">
        <v>44958</v>
      </c>
      <c r="D13" s="12" t="s">
        <v>153</v>
      </c>
      <c r="E13" s="14">
        <v>39.54</v>
      </c>
      <c r="F13" s="99"/>
      <c r="G13" s="14"/>
      <c r="H13" s="15" t="s">
        <v>91</v>
      </c>
      <c r="O13">
        <f>9.1*2</f>
        <v>18.2</v>
      </c>
    </row>
    <row r="14" spans="2:15" x14ac:dyDescent="0.25">
      <c r="B14" t="s">
        <v>150</v>
      </c>
      <c r="C14" s="13">
        <v>44965</v>
      </c>
      <c r="D14" s="12" t="s">
        <v>153</v>
      </c>
      <c r="E14" s="14">
        <v>36.479999999999997</v>
      </c>
      <c r="F14" s="99"/>
      <c r="G14" s="14"/>
      <c r="H14" s="15" t="s">
        <v>92</v>
      </c>
      <c r="O14" s="8">
        <f>13.4*2</f>
        <v>26.8</v>
      </c>
    </row>
    <row r="15" spans="2:15" x14ac:dyDescent="0.25">
      <c r="B15" t="s">
        <v>149</v>
      </c>
      <c r="C15" s="13">
        <v>44983</v>
      </c>
      <c r="D15" s="12" t="s">
        <v>153</v>
      </c>
      <c r="E15" s="14">
        <v>37.24</v>
      </c>
      <c r="F15" s="99"/>
      <c r="G15" s="14"/>
      <c r="H15" s="15" t="s">
        <v>93</v>
      </c>
      <c r="O15">
        <f t="shared" ref="O15:O18" si="1">9.1*2</f>
        <v>18.2</v>
      </c>
    </row>
    <row r="16" spans="2:15" x14ac:dyDescent="0.25">
      <c r="B16" t="s">
        <v>150</v>
      </c>
      <c r="C16" s="13">
        <v>45039</v>
      </c>
      <c r="D16" s="12" t="s">
        <v>153</v>
      </c>
      <c r="E16" s="14">
        <v>74.89</v>
      </c>
      <c r="F16" s="99"/>
      <c r="G16" s="14"/>
      <c r="H16" s="15" t="s">
        <v>94</v>
      </c>
      <c r="O16">
        <f t="shared" si="1"/>
        <v>18.2</v>
      </c>
    </row>
    <row r="17" spans="2:15" x14ac:dyDescent="0.25">
      <c r="B17" t="s">
        <v>150</v>
      </c>
      <c r="C17" s="13">
        <v>45067</v>
      </c>
      <c r="D17" s="12" t="s">
        <v>153</v>
      </c>
      <c r="E17" s="14">
        <v>24.84</v>
      </c>
      <c r="F17" s="99"/>
      <c r="G17" s="14"/>
      <c r="H17" s="15" t="s">
        <v>95</v>
      </c>
      <c r="O17">
        <f t="shared" si="1"/>
        <v>18.2</v>
      </c>
    </row>
    <row r="18" spans="2:15" x14ac:dyDescent="0.25">
      <c r="B18" t="s">
        <v>149</v>
      </c>
      <c r="C18" s="13">
        <v>45158</v>
      </c>
      <c r="D18" s="12" t="s">
        <v>153</v>
      </c>
      <c r="E18" s="14">
        <v>85.59</v>
      </c>
      <c r="F18" s="99"/>
      <c r="G18" s="15"/>
      <c r="H18" s="15" t="s">
        <v>90</v>
      </c>
      <c r="O18">
        <f t="shared" si="1"/>
        <v>18.2</v>
      </c>
    </row>
    <row r="19" spans="2:15" x14ac:dyDescent="0.25">
      <c r="C19" s="13"/>
      <c r="E19" s="14"/>
      <c r="F19" s="99"/>
      <c r="G19" s="15"/>
      <c r="H19" s="15"/>
      <c r="O19" s="8"/>
    </row>
    <row r="20" spans="2:15" x14ac:dyDescent="0.25">
      <c r="B20" t="s">
        <v>150</v>
      </c>
      <c r="C20" s="13">
        <v>45046</v>
      </c>
      <c r="D20" s="12" t="s">
        <v>154</v>
      </c>
      <c r="E20" s="14">
        <v>11.85</v>
      </c>
      <c r="F20" s="99"/>
      <c r="G20" s="15"/>
      <c r="H20" s="15" t="s">
        <v>96</v>
      </c>
      <c r="O20">
        <f>5</f>
        <v>5</v>
      </c>
    </row>
    <row r="21" spans="2:15" x14ac:dyDescent="0.25">
      <c r="B21" t="s">
        <v>149</v>
      </c>
      <c r="C21" s="13">
        <v>45240</v>
      </c>
      <c r="D21" s="12" t="s">
        <v>154</v>
      </c>
      <c r="E21" s="14">
        <v>35.67</v>
      </c>
      <c r="F21" s="99"/>
      <c r="G21" s="15"/>
      <c r="H21" s="15" t="s">
        <v>110</v>
      </c>
      <c r="O21">
        <v>0</v>
      </c>
    </row>
    <row r="22" spans="2:15" x14ac:dyDescent="0.25">
      <c r="C22" s="13"/>
      <c r="E22" s="14"/>
      <c r="F22" s="99"/>
      <c r="G22" s="15"/>
      <c r="H22" s="15"/>
      <c r="O22" s="8"/>
    </row>
    <row r="23" spans="2:15" x14ac:dyDescent="0.25">
      <c r="B23" t="s">
        <v>149</v>
      </c>
      <c r="C23" s="13">
        <v>45064</v>
      </c>
      <c r="D23" s="12" t="s">
        <v>155</v>
      </c>
      <c r="E23" s="14">
        <v>8.4600000000000009</v>
      </c>
      <c r="F23" s="99"/>
      <c r="G23" s="15"/>
      <c r="H23" s="15" t="s">
        <v>98</v>
      </c>
      <c r="O23">
        <f t="shared" ref="O23:O28" si="2">1.8*2</f>
        <v>3.6</v>
      </c>
    </row>
    <row r="24" spans="2:15" x14ac:dyDescent="0.25">
      <c r="B24" t="s">
        <v>150</v>
      </c>
      <c r="C24" s="13">
        <v>45141</v>
      </c>
      <c r="D24" s="12" t="s">
        <v>155</v>
      </c>
      <c r="E24" s="14">
        <v>69.75</v>
      </c>
      <c r="F24" s="99"/>
      <c r="G24" s="15"/>
      <c r="H24" s="15" t="s">
        <v>99</v>
      </c>
      <c r="O24">
        <f t="shared" si="2"/>
        <v>3.6</v>
      </c>
    </row>
    <row r="25" spans="2:15" x14ac:dyDescent="0.25">
      <c r="B25" t="s">
        <v>150</v>
      </c>
      <c r="C25" s="13">
        <v>45142</v>
      </c>
      <c r="D25" s="12" t="s">
        <v>155</v>
      </c>
      <c r="E25" s="14">
        <v>40.4</v>
      </c>
      <c r="F25" s="99"/>
      <c r="G25" s="15"/>
      <c r="H25" s="15" t="s">
        <v>100</v>
      </c>
      <c r="O25">
        <f t="shared" si="2"/>
        <v>3.6</v>
      </c>
    </row>
    <row r="26" spans="2:15" x14ac:dyDescent="0.25">
      <c r="B26" t="s">
        <v>149</v>
      </c>
      <c r="C26" s="13">
        <v>45142</v>
      </c>
      <c r="D26" s="12" t="s">
        <v>155</v>
      </c>
      <c r="E26" s="14">
        <v>18.559999999999999</v>
      </c>
      <c r="F26" s="99">
        <v>8</v>
      </c>
      <c r="G26" s="15">
        <v>2000</v>
      </c>
      <c r="H26" s="15" t="s">
        <v>158</v>
      </c>
      <c r="O26">
        <f t="shared" si="2"/>
        <v>3.6</v>
      </c>
    </row>
    <row r="27" spans="2:15" x14ac:dyDescent="0.25">
      <c r="B27" t="s">
        <v>150</v>
      </c>
      <c r="C27" s="13">
        <v>45252</v>
      </c>
      <c r="D27" s="12" t="s">
        <v>155</v>
      </c>
      <c r="E27" s="14">
        <v>11.29</v>
      </c>
      <c r="F27" s="99"/>
      <c r="G27" s="15"/>
      <c r="H27" s="15" t="s">
        <v>111</v>
      </c>
      <c r="O27">
        <f t="shared" si="2"/>
        <v>3.6</v>
      </c>
    </row>
    <row r="28" spans="2:15" x14ac:dyDescent="0.25">
      <c r="B28" t="s">
        <v>150</v>
      </c>
      <c r="C28" s="13">
        <v>45656</v>
      </c>
      <c r="D28" s="12" t="s">
        <v>155</v>
      </c>
      <c r="E28" s="14">
        <v>46.09</v>
      </c>
      <c r="F28" s="99"/>
      <c r="G28" s="15"/>
      <c r="H28" s="15" t="s">
        <v>115</v>
      </c>
      <c r="O28">
        <f t="shared" si="2"/>
        <v>3.6</v>
      </c>
    </row>
    <row r="29" spans="2:15" x14ac:dyDescent="0.25">
      <c r="C29" s="13"/>
      <c r="E29" s="14"/>
      <c r="F29" s="99"/>
      <c r="G29" s="15"/>
      <c r="H29" s="15"/>
    </row>
    <row r="30" spans="2:15" x14ac:dyDescent="0.25">
      <c r="B30" t="s">
        <v>150</v>
      </c>
      <c r="C30" s="13">
        <v>44927</v>
      </c>
      <c r="D30" s="12" t="s">
        <v>156</v>
      </c>
      <c r="E30" s="14">
        <v>83.59</v>
      </c>
      <c r="F30" s="99"/>
      <c r="G30" s="15"/>
      <c r="H30" s="15" t="s">
        <v>113</v>
      </c>
      <c r="O30">
        <f>9.8*2</f>
        <v>19.600000000000001</v>
      </c>
    </row>
    <row r="31" spans="2:15" x14ac:dyDescent="0.25">
      <c r="B31" t="s">
        <v>149</v>
      </c>
      <c r="C31" s="13">
        <v>45256</v>
      </c>
      <c r="D31" s="12" t="s">
        <v>156</v>
      </c>
      <c r="E31" s="14">
        <v>81.31</v>
      </c>
      <c r="F31" s="99"/>
      <c r="G31" s="15"/>
      <c r="H31" s="15" t="s">
        <v>114</v>
      </c>
      <c r="O31">
        <f>9.8*2</f>
        <v>19.600000000000001</v>
      </c>
    </row>
    <row r="32" spans="2:15" x14ac:dyDescent="0.25">
      <c r="C32" s="13"/>
      <c r="E32" s="14"/>
      <c r="F32" s="99"/>
      <c r="G32" s="15"/>
      <c r="H32" s="15"/>
      <c r="O32" s="8"/>
    </row>
    <row r="33" spans="2:16" x14ac:dyDescent="0.25">
      <c r="B33" t="s">
        <v>150</v>
      </c>
      <c r="C33" s="13">
        <v>44959</v>
      </c>
      <c r="D33" s="12" t="s">
        <v>157</v>
      </c>
      <c r="E33" s="14">
        <v>14.54</v>
      </c>
      <c r="F33" s="99"/>
      <c r="G33" s="15"/>
      <c r="H33" s="15" t="s">
        <v>101</v>
      </c>
      <c r="O33" s="8">
        <v>0</v>
      </c>
    </row>
    <row r="34" spans="2:16" x14ac:dyDescent="0.25">
      <c r="B34" t="s">
        <v>149</v>
      </c>
      <c r="C34" s="13">
        <v>45011</v>
      </c>
      <c r="D34" s="12" t="s">
        <v>157</v>
      </c>
      <c r="E34" s="14">
        <v>23.54</v>
      </c>
      <c r="F34" s="99"/>
      <c r="G34" s="15"/>
      <c r="H34" s="15" t="s">
        <v>102</v>
      </c>
      <c r="O34">
        <v>0</v>
      </c>
      <c r="P34" s="8"/>
    </row>
    <row r="35" spans="2:16" x14ac:dyDescent="0.25">
      <c r="B35" t="s">
        <v>150</v>
      </c>
      <c r="C35" s="13">
        <v>45024</v>
      </c>
      <c r="D35" s="12" t="s">
        <v>157</v>
      </c>
      <c r="F35" s="98">
        <v>1</v>
      </c>
      <c r="G35" s="14">
        <v>500</v>
      </c>
      <c r="H35" s="15" t="s">
        <v>159</v>
      </c>
      <c r="O35" s="8">
        <v>0</v>
      </c>
    </row>
    <row r="36" spans="2:16" x14ac:dyDescent="0.25">
      <c r="B36" t="s">
        <v>150</v>
      </c>
      <c r="C36" s="10">
        <v>45052</v>
      </c>
      <c r="D36" s="12" t="s">
        <v>157</v>
      </c>
      <c r="E36" s="12">
        <v>11.96</v>
      </c>
      <c r="H36" s="15" t="s">
        <v>103</v>
      </c>
      <c r="O36" s="8">
        <v>0</v>
      </c>
    </row>
    <row r="37" spans="2:16" x14ac:dyDescent="0.25">
      <c r="B37" t="s">
        <v>149</v>
      </c>
      <c r="C37" s="10">
        <v>45109</v>
      </c>
      <c r="D37" s="12" t="s">
        <v>157</v>
      </c>
      <c r="E37" s="12">
        <v>47.91</v>
      </c>
      <c r="H37" s="15" t="s">
        <v>104</v>
      </c>
      <c r="O37" s="8">
        <v>0</v>
      </c>
    </row>
    <row r="38" spans="2:16" x14ac:dyDescent="0.25">
      <c r="C38" s="10"/>
    </row>
    <row r="39" spans="2:16" x14ac:dyDescent="0.25">
      <c r="C39" s="10"/>
      <c r="D39" s="12" t="s">
        <v>49</v>
      </c>
    </row>
    <row r="40" spans="2:16" x14ac:dyDescent="0.25">
      <c r="C40" s="10"/>
    </row>
    <row r="41" spans="2:16" x14ac:dyDescent="0.25">
      <c r="C41" s="10"/>
    </row>
    <row r="47" spans="2:16" x14ac:dyDescent="0.25">
      <c r="B47" s="1"/>
      <c r="C47" s="17"/>
      <c r="D47" s="18"/>
      <c r="E47" s="18"/>
      <c r="F47" s="100"/>
      <c r="G47" s="18"/>
      <c r="H47" s="1"/>
      <c r="I47" s="1"/>
      <c r="J47" s="1"/>
      <c r="K47" s="1"/>
      <c r="L47" s="1"/>
      <c r="M47" s="1"/>
      <c r="N47" s="1"/>
      <c r="O47" s="1"/>
      <c r="P47" s="1"/>
    </row>
    <row r="49" spans="2:15" ht="17.25" x14ac:dyDescent="0.4">
      <c r="B49" s="19" t="s">
        <v>17</v>
      </c>
      <c r="E49" s="20">
        <f>SUM(E3:E43)</f>
        <v>1759.5999999999997</v>
      </c>
      <c r="F49" s="101"/>
      <c r="G49" s="20">
        <f>SUM(G3:G40)</f>
        <v>3500</v>
      </c>
      <c r="O49" s="114">
        <f>SUM(O3:O41)</f>
        <v>318.00000000000011</v>
      </c>
    </row>
    <row r="52" spans="2:15" x14ac:dyDescent="0.25">
      <c r="C52" s="102" t="s">
        <v>73</v>
      </c>
      <c r="D52" s="103" t="s">
        <v>75</v>
      </c>
      <c r="E52" s="104"/>
      <c r="F52" s="105"/>
      <c r="G52" s="106"/>
    </row>
    <row r="53" spans="2:15" x14ac:dyDescent="0.25">
      <c r="C53" s="107">
        <v>1</v>
      </c>
      <c r="D53" s="34" t="s">
        <v>57</v>
      </c>
      <c r="E53" s="32"/>
      <c r="F53" s="108"/>
      <c r="G53" s="109">
        <f ca="1">SUMIF($F$3:$G$47, C53,$G$3:$G$47)</f>
        <v>1500</v>
      </c>
    </row>
    <row r="54" spans="2:15" x14ac:dyDescent="0.25">
      <c r="C54" s="107">
        <v>8</v>
      </c>
      <c r="D54" s="34" t="s">
        <v>76</v>
      </c>
      <c r="E54" s="32"/>
      <c r="F54" s="108"/>
      <c r="G54" s="109">
        <f ca="1">SUMIF($F$3:$G$47, C54,$G$3:$G$47)</f>
        <v>2000</v>
      </c>
    </row>
    <row r="55" spans="2:15" x14ac:dyDescent="0.25">
      <c r="C55" s="107">
        <v>10</v>
      </c>
      <c r="D55" s="33" t="s">
        <v>125</v>
      </c>
      <c r="E55" s="32"/>
      <c r="F55" s="108"/>
      <c r="G55" s="109">
        <f ca="1">SUMIF($F$3:$G$47, C55,$G$3:$G$47)</f>
        <v>0</v>
      </c>
    </row>
    <row r="56" spans="2:15" x14ac:dyDescent="0.25">
      <c r="C56" s="110">
        <v>50</v>
      </c>
      <c r="D56" s="1" t="s">
        <v>77</v>
      </c>
      <c r="E56" s="18"/>
      <c r="F56" s="100"/>
      <c r="G56" s="111">
        <f ca="1">SUMIF($F$3:$G$47, C56,$G$3:$G$47)</f>
        <v>0</v>
      </c>
    </row>
    <row r="59" spans="2:15" x14ac:dyDescent="0.25">
      <c r="B59" t="s">
        <v>50</v>
      </c>
    </row>
    <row r="70" spans="4:4" x14ac:dyDescent="0.25">
      <c r="D70" s="16"/>
    </row>
    <row r="93" spans="4:4" x14ac:dyDescent="0.25">
      <c r="D93" s="14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6"/>
  <sheetViews>
    <sheetView workbookViewId="0">
      <selection activeCell="R23" sqref="R23"/>
    </sheetView>
  </sheetViews>
  <sheetFormatPr defaultRowHeight="15" x14ac:dyDescent="0.25"/>
  <cols>
    <col min="2" max="2" width="23.85546875" customWidth="1"/>
    <col min="5" max="5" width="21.140625" customWidth="1"/>
  </cols>
  <sheetData>
    <row r="2" spans="2:8" x14ac:dyDescent="0.25">
      <c r="B2" t="s">
        <v>143</v>
      </c>
      <c r="E2" t="s">
        <v>144</v>
      </c>
      <c r="H2" t="s">
        <v>81</v>
      </c>
    </row>
    <row r="5" spans="2:8" ht="15.75" thickBot="1" x14ac:dyDescent="0.3"/>
    <row r="6" spans="2:8" ht="15.75" thickBot="1" x14ac:dyDescent="0.3">
      <c r="B6" s="2" t="s">
        <v>137</v>
      </c>
      <c r="C6" s="11">
        <v>0</v>
      </c>
      <c r="E6" s="2" t="s">
        <v>138</v>
      </c>
      <c r="F6" s="11">
        <v>0</v>
      </c>
      <c r="H6" s="11">
        <f>C6+F6</f>
        <v>0</v>
      </c>
    </row>
    <row r="8" spans="2:8" ht="15.75" thickBot="1" x14ac:dyDescent="0.3"/>
    <row r="9" spans="2:8" ht="15.75" thickBot="1" x14ac:dyDescent="0.3">
      <c r="B9" t="s">
        <v>37</v>
      </c>
      <c r="C9" s="11">
        <f>-C6*(4/15)</f>
        <v>0</v>
      </c>
      <c r="E9" t="s">
        <v>37</v>
      </c>
      <c r="F9" s="11">
        <v>0</v>
      </c>
      <c r="H9" s="11">
        <f>C9+F9</f>
        <v>0</v>
      </c>
    </row>
    <row r="11" spans="2:8" ht="15.75" thickBot="1" x14ac:dyDescent="0.3"/>
    <row r="12" spans="2:8" ht="15.75" thickBot="1" x14ac:dyDescent="0.3">
      <c r="B12" t="s">
        <v>38</v>
      </c>
      <c r="C12" s="11">
        <f>C6+C9</f>
        <v>0</v>
      </c>
      <c r="E12" t="s">
        <v>38</v>
      </c>
      <c r="F12" s="11">
        <f>F6+F9</f>
        <v>0</v>
      </c>
      <c r="H12" s="11">
        <f>C12+F12</f>
        <v>0</v>
      </c>
    </row>
    <row r="16" spans="2:8" x14ac:dyDescent="0.25">
      <c r="B16" t="s">
        <v>40</v>
      </c>
      <c r="C16">
        <f>C12+F12</f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3"/>
  <sheetViews>
    <sheetView workbookViewId="0">
      <selection activeCell="M14" sqref="M14"/>
    </sheetView>
  </sheetViews>
  <sheetFormatPr defaultRowHeight="15" x14ac:dyDescent="0.25"/>
  <cols>
    <col min="2" max="2" width="16.85546875" bestFit="1" customWidth="1"/>
    <col min="3" max="3" width="14.140625" customWidth="1"/>
    <col min="5" max="5" width="13.140625" customWidth="1"/>
    <col min="8" max="8" width="11.5703125" bestFit="1" customWidth="1"/>
  </cols>
  <sheetData>
    <row r="2" spans="2:9" x14ac:dyDescent="0.25">
      <c r="B2" t="s">
        <v>143</v>
      </c>
      <c r="E2" t="s">
        <v>144</v>
      </c>
      <c r="H2" t="s">
        <v>81</v>
      </c>
    </row>
    <row r="4" spans="2:9" x14ac:dyDescent="0.25">
      <c r="B4" s="12" t="s">
        <v>161</v>
      </c>
      <c r="E4" s="12" t="s">
        <v>161</v>
      </c>
    </row>
    <row r="5" spans="2:9" x14ac:dyDescent="0.25">
      <c r="B5" s="12"/>
    </row>
    <row r="6" spans="2:9" x14ac:dyDescent="0.25">
      <c r="B6" s="16">
        <v>6400</v>
      </c>
      <c r="C6" s="21"/>
      <c r="D6" s="21"/>
      <c r="E6" s="16">
        <v>1800</v>
      </c>
      <c r="F6" s="22">
        <v>45034</v>
      </c>
      <c r="H6" s="21"/>
    </row>
    <row r="7" spans="2:9" x14ac:dyDescent="0.25">
      <c r="B7" s="23"/>
      <c r="C7" s="21"/>
      <c r="D7" s="21"/>
      <c r="E7" s="23">
        <v>1900</v>
      </c>
      <c r="F7" s="22">
        <v>44347</v>
      </c>
      <c r="H7" s="21"/>
    </row>
    <row r="8" spans="2:9" ht="15.75" thickBot="1" x14ac:dyDescent="0.3">
      <c r="B8" s="16"/>
      <c r="C8" s="21"/>
      <c r="D8" s="21"/>
      <c r="E8" s="16"/>
      <c r="F8" s="21"/>
      <c r="H8" s="21"/>
      <c r="I8" s="21"/>
    </row>
    <row r="9" spans="2:9" ht="15.75" thickBot="1" x14ac:dyDescent="0.3">
      <c r="B9" s="26">
        <f>B6</f>
        <v>6400</v>
      </c>
      <c r="C9" s="21"/>
      <c r="D9" s="21"/>
      <c r="E9" s="26">
        <f>SUM(E6:E7)</f>
        <v>3700</v>
      </c>
      <c r="F9" s="21"/>
      <c r="H9" s="84">
        <f>B9+E9</f>
        <v>10100</v>
      </c>
      <c r="I9" s="21"/>
    </row>
    <row r="10" spans="2:9" ht="15.75" thickBot="1" x14ac:dyDescent="0.3">
      <c r="B10" s="24"/>
      <c r="C10" s="21"/>
      <c r="D10" s="21"/>
      <c r="E10" s="21"/>
      <c r="F10" s="21"/>
      <c r="G10" s="24"/>
      <c r="H10" s="21"/>
      <c r="I10" s="21"/>
    </row>
    <row r="11" spans="2:9" ht="15.75" thickBot="1" x14ac:dyDescent="0.3">
      <c r="B11" s="16">
        <f>-B6*4/15</f>
        <v>-1706.6666666666667</v>
      </c>
      <c r="C11" s="25" t="s">
        <v>53</v>
      </c>
      <c r="E11" s="91">
        <v>0</v>
      </c>
      <c r="F11" s="21"/>
      <c r="G11" s="24"/>
      <c r="H11" s="84">
        <f>B11+E11</f>
        <v>-1706.6666666666667</v>
      </c>
      <c r="I11" s="21"/>
    </row>
    <row r="12" spans="2:9" ht="15.75" thickBot="1" x14ac:dyDescent="0.3">
      <c r="B12" s="16"/>
      <c r="C12" s="25"/>
      <c r="E12" s="21"/>
      <c r="F12" s="21"/>
      <c r="G12" s="24"/>
      <c r="H12" s="21"/>
      <c r="I12" s="21"/>
    </row>
    <row r="13" spans="2:9" ht="15.75" thickBot="1" x14ac:dyDescent="0.3">
      <c r="B13" s="26">
        <f>B9+B11</f>
        <v>4693.333333333333</v>
      </c>
      <c r="C13" s="21" t="s">
        <v>52</v>
      </c>
      <c r="E13" s="90">
        <f>E9+E11</f>
        <v>3700</v>
      </c>
      <c r="F13" s="21"/>
      <c r="G13" s="24"/>
      <c r="H13" s="84">
        <f>B13+E13</f>
        <v>8393.3333333333321</v>
      </c>
      <c r="I13" s="2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44"/>
  <sheetViews>
    <sheetView workbookViewId="0">
      <selection activeCell="D25" sqref="D25"/>
    </sheetView>
  </sheetViews>
  <sheetFormatPr defaultRowHeight="15" x14ac:dyDescent="0.25"/>
  <cols>
    <col min="2" max="2" width="20" customWidth="1"/>
    <col min="5" max="5" width="20.28515625" customWidth="1"/>
    <col min="6" max="6" width="6.42578125" customWidth="1"/>
    <col min="7" max="7" width="13.140625" customWidth="1"/>
    <col min="8" max="8" width="4.28515625" customWidth="1"/>
    <col min="9" max="9" width="12" customWidth="1"/>
    <col min="10" max="10" width="5.7109375" customWidth="1"/>
    <col min="13" max="13" width="11.5703125" style="12" customWidth="1"/>
    <col min="14" max="14" width="14.7109375" customWidth="1"/>
    <col min="15" max="15" width="3.7109375" customWidth="1"/>
    <col min="16" max="16" width="9.7109375" customWidth="1"/>
    <col min="17" max="17" width="14.28515625" style="12" customWidth="1"/>
    <col min="18" max="18" width="13" customWidth="1"/>
    <col min="19" max="19" width="13.5703125" customWidth="1"/>
  </cols>
  <sheetData>
    <row r="1" spans="2:18" x14ac:dyDescent="0.25">
      <c r="Q1"/>
    </row>
    <row r="2" spans="2:18" x14ac:dyDescent="0.25">
      <c r="B2" t="s">
        <v>143</v>
      </c>
      <c r="E2" t="s">
        <v>144</v>
      </c>
      <c r="I2" t="s">
        <v>81</v>
      </c>
      <c r="Q2"/>
    </row>
    <row r="3" spans="2:18" x14ac:dyDescent="0.25">
      <c r="M3" s="16"/>
      <c r="Q3" s="27"/>
      <c r="R3" s="27"/>
    </row>
    <row r="4" spans="2:18" x14ac:dyDescent="0.25">
      <c r="M4" s="16"/>
      <c r="Q4" s="28"/>
      <c r="R4" s="27"/>
    </row>
    <row r="5" spans="2:18" ht="15.75" thickBot="1" x14ac:dyDescent="0.3">
      <c r="M5" s="16"/>
    </row>
    <row r="6" spans="2:18" ht="15.75" thickBot="1" x14ac:dyDescent="0.3">
      <c r="B6" s="2" t="s">
        <v>136</v>
      </c>
      <c r="C6" s="11">
        <f>SUM(C4:C5)</f>
        <v>0</v>
      </c>
      <c r="E6" s="2" t="s">
        <v>136</v>
      </c>
      <c r="F6" s="11">
        <f>SUM(F4:F5)</f>
        <v>0</v>
      </c>
      <c r="I6">
        <f>C6+F6</f>
        <v>0</v>
      </c>
      <c r="M6" s="16"/>
    </row>
    <row r="7" spans="2:18" x14ac:dyDescent="0.25">
      <c r="M7" s="16"/>
    </row>
    <row r="8" spans="2:18" ht="15.75" thickBot="1" x14ac:dyDescent="0.3">
      <c r="M8" s="16"/>
    </row>
    <row r="9" spans="2:18" ht="15.75" thickBot="1" x14ac:dyDescent="0.3">
      <c r="B9" t="s">
        <v>37</v>
      </c>
      <c r="C9" s="11">
        <f>-C6*(4/15)</f>
        <v>0</v>
      </c>
      <c r="E9" t="s">
        <v>37</v>
      </c>
      <c r="F9" s="11">
        <v>0</v>
      </c>
      <c r="I9">
        <f>C9+F9</f>
        <v>0</v>
      </c>
      <c r="M9" s="16"/>
      <c r="P9" s="22"/>
      <c r="Q9" s="16"/>
    </row>
    <row r="10" spans="2:18" x14ac:dyDescent="0.25">
      <c r="M10" s="16"/>
      <c r="P10" s="22"/>
      <c r="Q10" s="16"/>
    </row>
    <row r="11" spans="2:18" ht="15.75" thickBot="1" x14ac:dyDescent="0.3">
      <c r="I11" s="12"/>
      <c r="M11" s="16"/>
      <c r="P11" s="30"/>
    </row>
    <row r="12" spans="2:18" ht="15.75" thickBot="1" x14ac:dyDescent="0.3">
      <c r="B12" t="s">
        <v>38</v>
      </c>
      <c r="C12" s="11">
        <f>C6+C9</f>
        <v>0</v>
      </c>
      <c r="E12" t="s">
        <v>38</v>
      </c>
      <c r="F12" s="11">
        <f>F6+F9</f>
        <v>0</v>
      </c>
      <c r="I12">
        <f>C12+F12</f>
        <v>0</v>
      </c>
      <c r="M12" s="16"/>
      <c r="P12" s="30"/>
    </row>
    <row r="13" spans="2:18" x14ac:dyDescent="0.25">
      <c r="I13" s="12"/>
      <c r="M13" s="16"/>
      <c r="P13" s="30"/>
    </row>
    <row r="14" spans="2:18" x14ac:dyDescent="0.25">
      <c r="I14" s="12"/>
      <c r="M14" s="16"/>
      <c r="P14" s="30"/>
    </row>
    <row r="15" spans="2:18" x14ac:dyDescent="0.25">
      <c r="I15" s="12"/>
      <c r="M15" s="16"/>
      <c r="P15" s="30"/>
    </row>
    <row r="16" spans="2:18" x14ac:dyDescent="0.25">
      <c r="B16" t="s">
        <v>40</v>
      </c>
      <c r="C16">
        <f>C12+F12</f>
        <v>0</v>
      </c>
      <c r="M16" s="24"/>
      <c r="N16" s="24"/>
      <c r="O16" s="24"/>
      <c r="P16" s="10"/>
    </row>
    <row r="17" spans="7:19" x14ac:dyDescent="0.25">
      <c r="P17" s="10"/>
    </row>
    <row r="18" spans="7:19" x14ac:dyDescent="0.25">
      <c r="I18" s="29"/>
      <c r="M18"/>
      <c r="P18" s="10"/>
    </row>
    <row r="19" spans="7:19" x14ac:dyDescent="0.25">
      <c r="P19" s="10"/>
    </row>
    <row r="20" spans="7:19" x14ac:dyDescent="0.25">
      <c r="G20" s="31"/>
      <c r="I20" s="4"/>
      <c r="P20" s="30"/>
    </row>
    <row r="21" spans="7:19" x14ac:dyDescent="0.25">
      <c r="G21" s="29"/>
      <c r="P21" s="10"/>
    </row>
    <row r="22" spans="7:19" x14ac:dyDescent="0.25">
      <c r="G22" s="29"/>
      <c r="P22" s="30"/>
    </row>
    <row r="23" spans="7:19" x14ac:dyDescent="0.25">
      <c r="G23" s="29"/>
      <c r="P23" s="30"/>
    </row>
    <row r="24" spans="7:19" x14ac:dyDescent="0.25">
      <c r="G24" s="29"/>
      <c r="P24" s="30"/>
    </row>
    <row r="25" spans="7:19" x14ac:dyDescent="0.25">
      <c r="G25" s="29"/>
      <c r="P25" s="10"/>
    </row>
    <row r="26" spans="7:19" x14ac:dyDescent="0.25">
      <c r="G26" s="29"/>
      <c r="P26" s="10"/>
    </row>
    <row r="27" spans="7:19" x14ac:dyDescent="0.25">
      <c r="G27" s="29"/>
      <c r="P27" s="10"/>
    </row>
    <row r="28" spans="7:19" x14ac:dyDescent="0.25">
      <c r="G28" s="29"/>
      <c r="P28" s="10"/>
    </row>
    <row r="29" spans="7:19" x14ac:dyDescent="0.25">
      <c r="P29" s="10"/>
    </row>
    <row r="30" spans="7:19" x14ac:dyDescent="0.25">
      <c r="P30" s="10"/>
      <c r="Q30" s="24"/>
      <c r="S30" s="29"/>
    </row>
    <row r="31" spans="7:19" x14ac:dyDescent="0.25">
      <c r="P31" s="10"/>
    </row>
    <row r="32" spans="7:19" x14ac:dyDescent="0.25">
      <c r="P32" s="10"/>
    </row>
    <row r="33" spans="13:17" x14ac:dyDescent="0.25">
      <c r="P33" s="10"/>
    </row>
    <row r="34" spans="13:17" x14ac:dyDescent="0.25">
      <c r="P34" s="10"/>
    </row>
    <row r="35" spans="13:17" x14ac:dyDescent="0.25">
      <c r="P35" s="10"/>
    </row>
    <row r="36" spans="13:17" x14ac:dyDescent="0.25">
      <c r="M36"/>
      <c r="P36" s="10"/>
    </row>
    <row r="37" spans="13:17" x14ac:dyDescent="0.25">
      <c r="M37"/>
      <c r="P37" s="10"/>
    </row>
    <row r="38" spans="13:17" x14ac:dyDescent="0.25">
      <c r="P38" s="10"/>
    </row>
    <row r="39" spans="13:17" x14ac:dyDescent="0.25">
      <c r="P39" s="10"/>
    </row>
    <row r="40" spans="13:17" x14ac:dyDescent="0.25">
      <c r="P40" s="10"/>
    </row>
    <row r="41" spans="13:17" x14ac:dyDescent="0.25">
      <c r="P41" s="10"/>
    </row>
    <row r="42" spans="13:17" x14ac:dyDescent="0.25">
      <c r="P42" s="10"/>
    </row>
    <row r="43" spans="13:17" x14ac:dyDescent="0.25">
      <c r="P43" s="10"/>
    </row>
    <row r="44" spans="13:17" x14ac:dyDescent="0.25">
      <c r="Q44" s="32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81"/>
  <sheetViews>
    <sheetView workbookViewId="0">
      <selection activeCell="H69" sqref="H69"/>
    </sheetView>
  </sheetViews>
  <sheetFormatPr defaultRowHeight="15" x14ac:dyDescent="0.25"/>
  <cols>
    <col min="1" max="1" width="17.140625" customWidth="1"/>
    <col min="2" max="2" width="12.140625" customWidth="1"/>
    <col min="3" max="3" width="10.5703125" bestFit="1" customWidth="1"/>
    <col min="5" max="5" width="12.28515625" customWidth="1"/>
    <col min="6" max="7" width="10.5703125" bestFit="1" customWidth="1"/>
    <col min="9" max="9" width="11.42578125" customWidth="1"/>
    <col min="10" max="10" width="10.5703125" bestFit="1" customWidth="1"/>
  </cols>
  <sheetData>
    <row r="2" spans="1:6" x14ac:dyDescent="0.25">
      <c r="A2" t="s">
        <v>55</v>
      </c>
    </row>
    <row r="4" spans="1:6" x14ac:dyDescent="0.25">
      <c r="B4" t="s">
        <v>143</v>
      </c>
      <c r="E4" t="s">
        <v>144</v>
      </c>
    </row>
    <row r="6" spans="1:6" x14ac:dyDescent="0.25">
      <c r="B6" t="s">
        <v>20</v>
      </c>
      <c r="C6" t="s">
        <v>42</v>
      </c>
      <c r="E6" t="s">
        <v>20</v>
      </c>
      <c r="F6" t="s">
        <v>42</v>
      </c>
    </row>
    <row r="7" spans="1:6" x14ac:dyDescent="0.25">
      <c r="B7" t="s">
        <v>3</v>
      </c>
      <c r="C7">
        <v>151</v>
      </c>
      <c r="E7" t="s">
        <v>3</v>
      </c>
      <c r="F7">
        <v>293.41000000000003</v>
      </c>
    </row>
    <row r="8" spans="1:6" x14ac:dyDescent="0.25">
      <c r="B8" t="s">
        <v>4</v>
      </c>
      <c r="C8">
        <v>227.67</v>
      </c>
      <c r="E8" t="s">
        <v>4</v>
      </c>
      <c r="F8">
        <v>263.93</v>
      </c>
    </row>
    <row r="9" spans="1:6" x14ac:dyDescent="0.25">
      <c r="B9" t="s">
        <v>5</v>
      </c>
      <c r="C9">
        <v>127.78</v>
      </c>
      <c r="E9" t="s">
        <v>5</v>
      </c>
      <c r="F9">
        <v>265.06</v>
      </c>
    </row>
    <row r="10" spans="1:6" x14ac:dyDescent="0.25">
      <c r="B10" t="s">
        <v>6</v>
      </c>
      <c r="C10">
        <v>180.65</v>
      </c>
      <c r="E10" t="s">
        <v>6</v>
      </c>
    </row>
    <row r="11" spans="1:6" x14ac:dyDescent="0.25">
      <c r="B11" t="s">
        <v>7</v>
      </c>
      <c r="C11">
        <v>47.75</v>
      </c>
      <c r="E11" t="s">
        <v>7</v>
      </c>
    </row>
    <row r="12" spans="1:6" x14ac:dyDescent="0.25">
      <c r="B12" t="s">
        <v>8</v>
      </c>
      <c r="C12">
        <v>33.19</v>
      </c>
      <c r="E12" t="s">
        <v>8</v>
      </c>
    </row>
    <row r="13" spans="1:6" x14ac:dyDescent="0.25">
      <c r="B13" t="s">
        <v>9</v>
      </c>
      <c r="C13">
        <v>21.94</v>
      </c>
      <c r="E13" t="s">
        <v>9</v>
      </c>
    </row>
    <row r="14" spans="1:6" x14ac:dyDescent="0.25">
      <c r="B14" t="s">
        <v>10</v>
      </c>
      <c r="C14">
        <v>30.82</v>
      </c>
      <c r="E14" t="s">
        <v>10</v>
      </c>
    </row>
    <row r="15" spans="1:6" x14ac:dyDescent="0.25">
      <c r="B15" t="s">
        <v>11</v>
      </c>
      <c r="C15">
        <v>20.88</v>
      </c>
      <c r="E15" t="s">
        <v>11</v>
      </c>
    </row>
    <row r="16" spans="1:6" x14ac:dyDescent="0.25">
      <c r="B16" t="s">
        <v>12</v>
      </c>
      <c r="C16">
        <v>30.81</v>
      </c>
      <c r="E16" t="s">
        <v>12</v>
      </c>
    </row>
    <row r="17" spans="1:25" x14ac:dyDescent="0.25">
      <c r="B17" t="s">
        <v>13</v>
      </c>
      <c r="C17">
        <v>47.57</v>
      </c>
      <c r="E17" t="s">
        <v>13</v>
      </c>
    </row>
    <row r="18" spans="1:25" ht="15.75" thickBot="1" x14ac:dyDescent="0.3">
      <c r="B18" s="1" t="s">
        <v>14</v>
      </c>
      <c r="C18" s="34">
        <v>130.58000000000001</v>
      </c>
      <c r="E18" s="1" t="s">
        <v>14</v>
      </c>
      <c r="F18" s="34"/>
    </row>
    <row r="19" spans="1:25" ht="15.75" thickBot="1" x14ac:dyDescent="0.3">
      <c r="B19" s="33" t="s">
        <v>17</v>
      </c>
      <c r="C19" s="65">
        <f>SUM(C7:C18)</f>
        <v>1050.6400000000001</v>
      </c>
      <c r="E19" s="33" t="s">
        <v>17</v>
      </c>
      <c r="F19" s="65">
        <f>SUM(F7:F18)</f>
        <v>822.40000000000009</v>
      </c>
      <c r="I19" t="s">
        <v>40</v>
      </c>
      <c r="J19" s="65">
        <f>C19+F19</f>
        <v>1873.0400000000002</v>
      </c>
    </row>
    <row r="20" spans="1:25" ht="15.75" thickBot="1" x14ac:dyDescent="0.3"/>
    <row r="21" spans="1:25" ht="15.75" thickBot="1" x14ac:dyDescent="0.3">
      <c r="A21" t="s">
        <v>127</v>
      </c>
      <c r="C21" s="11">
        <v>0</v>
      </c>
      <c r="F21" s="11">
        <v>0</v>
      </c>
      <c r="J21" s="11">
        <f>C21+F21</f>
        <v>0</v>
      </c>
    </row>
    <row r="23" spans="1:25" x14ac:dyDescent="0.25">
      <c r="Q23" s="34"/>
      <c r="R23" s="34"/>
      <c r="S23" s="34"/>
      <c r="T23" s="34"/>
      <c r="U23" s="34"/>
      <c r="V23" s="34"/>
      <c r="W23" s="34"/>
      <c r="X23" s="34"/>
      <c r="Y23" s="34"/>
    </row>
    <row r="24" spans="1:25" x14ac:dyDescent="0.25">
      <c r="A24" t="s">
        <v>56</v>
      </c>
      <c r="Q24" s="34"/>
      <c r="R24" s="34"/>
      <c r="S24" s="34"/>
      <c r="T24" s="34"/>
      <c r="U24" s="34"/>
      <c r="V24" s="34"/>
      <c r="W24" s="34"/>
      <c r="X24" s="34"/>
      <c r="Y24" s="34"/>
    </row>
    <row r="25" spans="1:25" ht="15.75" thickBot="1" x14ac:dyDescent="0.3">
      <c r="Q25" s="34"/>
      <c r="R25" s="34"/>
      <c r="S25" s="34"/>
      <c r="T25" s="34"/>
      <c r="U25" s="34"/>
      <c r="V25" s="34"/>
      <c r="W25" s="34"/>
      <c r="X25" s="34"/>
      <c r="Y25" s="34"/>
    </row>
    <row r="26" spans="1:25" s="9" customFormat="1" x14ac:dyDescent="0.25">
      <c r="B26" s="78" t="s">
        <v>143</v>
      </c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1"/>
      <c r="Q26" s="41"/>
      <c r="R26" s="78" t="s">
        <v>144</v>
      </c>
      <c r="S26" s="50"/>
      <c r="T26" s="50"/>
      <c r="U26" s="50"/>
      <c r="V26" s="50"/>
      <c r="W26" s="50"/>
      <c r="X26" s="51"/>
      <c r="Y26" s="41"/>
    </row>
    <row r="27" spans="1:25" x14ac:dyDescent="0.25">
      <c r="B27" s="39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40"/>
      <c r="Q27" s="34"/>
      <c r="R27" s="39"/>
      <c r="S27" s="34"/>
      <c r="T27" s="34"/>
      <c r="U27" s="34"/>
      <c r="V27" s="34"/>
      <c r="W27" s="34"/>
      <c r="X27" s="40"/>
      <c r="Y27" s="34"/>
    </row>
    <row r="28" spans="1:25" s="35" customFormat="1" x14ac:dyDescent="0.25">
      <c r="B28" s="47" t="s">
        <v>57</v>
      </c>
      <c r="C28" s="41"/>
      <c r="D28" s="41"/>
      <c r="E28" s="41"/>
      <c r="F28" s="41" t="s">
        <v>15</v>
      </c>
      <c r="G28" s="41"/>
      <c r="H28" s="41"/>
      <c r="I28" s="41"/>
      <c r="J28" s="41" t="s">
        <v>16</v>
      </c>
      <c r="K28" s="41"/>
      <c r="L28" s="41"/>
      <c r="M28" s="41"/>
      <c r="N28" s="41" t="s">
        <v>19</v>
      </c>
      <c r="O28" s="42"/>
      <c r="P28" s="43"/>
      <c r="Q28" s="42"/>
      <c r="R28" s="47" t="s">
        <v>15</v>
      </c>
      <c r="S28" s="41"/>
      <c r="T28" s="41"/>
      <c r="U28" s="41"/>
      <c r="V28" s="41" t="s">
        <v>16</v>
      </c>
      <c r="W28" s="41"/>
      <c r="X28" s="43"/>
      <c r="Y28" s="42"/>
    </row>
    <row r="29" spans="1:25" x14ac:dyDescent="0.25">
      <c r="B29" s="39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40"/>
      <c r="Q29" s="34"/>
      <c r="R29" s="39"/>
      <c r="S29" s="34"/>
      <c r="T29" s="34"/>
      <c r="U29" s="34"/>
      <c r="V29" s="34"/>
      <c r="W29" s="34"/>
      <c r="X29" s="40"/>
      <c r="Y29" s="34"/>
    </row>
    <row r="30" spans="1:25" x14ac:dyDescent="0.25">
      <c r="B30" s="39" t="s">
        <v>20</v>
      </c>
      <c r="C30" s="34" t="s">
        <v>42</v>
      </c>
      <c r="D30" s="34"/>
      <c r="E30" s="34"/>
      <c r="F30" s="34" t="s">
        <v>20</v>
      </c>
      <c r="G30" s="34" t="s">
        <v>42</v>
      </c>
      <c r="H30" s="34"/>
      <c r="I30" s="34"/>
      <c r="J30" s="34" t="s">
        <v>20</v>
      </c>
      <c r="K30" s="34" t="s">
        <v>42</v>
      </c>
      <c r="L30" s="34"/>
      <c r="M30" s="34"/>
      <c r="N30" s="34" t="s">
        <v>20</v>
      </c>
      <c r="O30" s="34" t="s">
        <v>42</v>
      </c>
      <c r="P30" s="40"/>
      <c r="Q30" s="34"/>
      <c r="R30" s="39" t="s">
        <v>20</v>
      </c>
      <c r="S30" s="34" t="s">
        <v>42</v>
      </c>
      <c r="T30" s="34"/>
      <c r="U30" s="34"/>
      <c r="V30" s="34" t="s">
        <v>20</v>
      </c>
      <c r="W30" s="34" t="s">
        <v>42</v>
      </c>
      <c r="X30" s="40"/>
      <c r="Y30" s="34"/>
    </row>
    <row r="31" spans="1:25" x14ac:dyDescent="0.25">
      <c r="B31" s="39" t="s">
        <v>3</v>
      </c>
      <c r="C31" s="34">
        <v>115.03</v>
      </c>
      <c r="D31" s="34"/>
      <c r="E31" s="34"/>
      <c r="F31" s="34" t="s">
        <v>3</v>
      </c>
      <c r="G31" s="34">
        <v>190.81</v>
      </c>
      <c r="H31" s="34"/>
      <c r="I31" s="34"/>
      <c r="J31" s="34" t="s">
        <v>3</v>
      </c>
      <c r="K31" s="34"/>
      <c r="L31" s="34"/>
      <c r="M31" s="34"/>
      <c r="N31" s="34" t="s">
        <v>3</v>
      </c>
      <c r="O31" s="34"/>
      <c r="P31" s="40"/>
      <c r="Q31" s="34"/>
      <c r="R31" s="39" t="s">
        <v>3</v>
      </c>
      <c r="S31" s="34"/>
      <c r="T31" s="34"/>
      <c r="U31" s="34"/>
      <c r="V31" s="34" t="s">
        <v>3</v>
      </c>
      <c r="W31" s="34">
        <v>89.93</v>
      </c>
      <c r="X31" s="40"/>
      <c r="Y31" s="34"/>
    </row>
    <row r="32" spans="1:25" x14ac:dyDescent="0.25">
      <c r="B32" s="39" t="s">
        <v>4</v>
      </c>
      <c r="C32" s="34">
        <v>123.74</v>
      </c>
      <c r="D32" s="34"/>
      <c r="E32" s="34"/>
      <c r="F32" s="34" t="s">
        <v>4</v>
      </c>
      <c r="G32" s="34">
        <v>223.8</v>
      </c>
      <c r="H32" s="34"/>
      <c r="I32" s="34"/>
      <c r="J32" s="34" t="s">
        <v>4</v>
      </c>
      <c r="K32" s="34"/>
      <c r="L32" s="34"/>
      <c r="M32" s="34"/>
      <c r="N32" s="34" t="s">
        <v>4</v>
      </c>
      <c r="O32" s="34"/>
      <c r="P32" s="40"/>
      <c r="Q32" s="34"/>
      <c r="R32" s="39" t="s">
        <v>4</v>
      </c>
      <c r="S32" s="34"/>
      <c r="T32" s="34"/>
      <c r="U32" s="34"/>
      <c r="V32" s="34" t="s">
        <v>4</v>
      </c>
      <c r="W32" s="34">
        <v>99.39</v>
      </c>
      <c r="X32" s="40"/>
      <c r="Y32" s="34"/>
    </row>
    <row r="33" spans="2:25" x14ac:dyDescent="0.25">
      <c r="B33" s="39" t="s">
        <v>5</v>
      </c>
      <c r="C33" s="34">
        <v>119.62</v>
      </c>
      <c r="D33" s="34"/>
      <c r="E33" s="34"/>
      <c r="F33" s="34" t="s">
        <v>5</v>
      </c>
      <c r="G33" s="34">
        <v>240.9</v>
      </c>
      <c r="H33" s="34"/>
      <c r="I33" s="34"/>
      <c r="J33" s="34" t="s">
        <v>5</v>
      </c>
      <c r="K33" s="34"/>
      <c r="L33" s="34"/>
      <c r="M33" s="34"/>
      <c r="N33" s="34" t="s">
        <v>5</v>
      </c>
      <c r="O33" s="34"/>
      <c r="P33" s="40"/>
      <c r="Q33" s="34"/>
      <c r="R33" s="39" t="s">
        <v>5</v>
      </c>
      <c r="S33" s="34"/>
      <c r="T33" s="34"/>
      <c r="U33" s="34"/>
      <c r="V33" s="34" t="s">
        <v>5</v>
      </c>
      <c r="W33" s="34">
        <v>107.55</v>
      </c>
      <c r="X33" s="40"/>
      <c r="Y33" s="34"/>
    </row>
    <row r="34" spans="2:25" x14ac:dyDescent="0.25">
      <c r="B34" s="39" t="s">
        <v>6</v>
      </c>
      <c r="C34" s="33">
        <v>117.84</v>
      </c>
      <c r="D34" s="34"/>
      <c r="E34" s="34"/>
      <c r="F34" s="34" t="s">
        <v>6</v>
      </c>
      <c r="G34" s="33">
        <v>209.57</v>
      </c>
      <c r="H34" s="34"/>
      <c r="I34" s="34"/>
      <c r="J34" s="34" t="s">
        <v>6</v>
      </c>
      <c r="K34" s="34"/>
      <c r="L34" s="34"/>
      <c r="M34" s="34"/>
      <c r="N34" s="34" t="s">
        <v>6</v>
      </c>
      <c r="O34" s="34"/>
      <c r="P34" s="40"/>
      <c r="Q34" s="34"/>
      <c r="R34" s="39" t="s">
        <v>6</v>
      </c>
      <c r="S34" s="34"/>
      <c r="T34" s="34"/>
      <c r="U34" s="34"/>
      <c r="V34" s="34" t="s">
        <v>6</v>
      </c>
      <c r="W34" s="34">
        <v>99.46</v>
      </c>
      <c r="X34" s="40"/>
      <c r="Y34" s="34"/>
    </row>
    <row r="35" spans="2:25" x14ac:dyDescent="0.25">
      <c r="B35" s="39" t="s">
        <v>7</v>
      </c>
      <c r="C35" s="33">
        <v>118.42</v>
      </c>
      <c r="D35" s="34"/>
      <c r="E35" s="34"/>
      <c r="F35" s="34" t="s">
        <v>7</v>
      </c>
      <c r="G35" s="33">
        <v>161.26</v>
      </c>
      <c r="H35" s="34"/>
      <c r="I35" s="34"/>
      <c r="J35" s="34" t="s">
        <v>7</v>
      </c>
      <c r="K35" s="34"/>
      <c r="L35" s="34"/>
      <c r="M35" s="34"/>
      <c r="N35" s="34" t="s">
        <v>7</v>
      </c>
      <c r="O35" s="34"/>
      <c r="P35" s="40"/>
      <c r="Q35" s="34"/>
      <c r="R35" s="39" t="s">
        <v>7</v>
      </c>
      <c r="S35" s="34"/>
      <c r="T35" s="34"/>
      <c r="U35" s="34"/>
      <c r="V35" s="34" t="s">
        <v>7</v>
      </c>
      <c r="W35" s="34">
        <v>105.76</v>
      </c>
      <c r="X35" s="40"/>
      <c r="Y35" s="34"/>
    </row>
    <row r="36" spans="2:25" x14ac:dyDescent="0.25">
      <c r="B36" s="39" t="s">
        <v>8</v>
      </c>
      <c r="C36" s="33">
        <v>109.94</v>
      </c>
      <c r="D36" s="34"/>
      <c r="E36" s="34"/>
      <c r="F36" s="34" t="s">
        <v>8</v>
      </c>
      <c r="G36" s="33">
        <v>94.84</v>
      </c>
      <c r="H36" s="34"/>
      <c r="I36" s="34"/>
      <c r="J36" s="34" t="s">
        <v>8</v>
      </c>
      <c r="K36" s="34"/>
      <c r="L36" s="34"/>
      <c r="M36" s="34"/>
      <c r="N36" s="34" t="s">
        <v>8</v>
      </c>
      <c r="O36" s="34"/>
      <c r="P36" s="40"/>
      <c r="Q36" s="34"/>
      <c r="R36" s="39" t="s">
        <v>8</v>
      </c>
      <c r="S36" s="34"/>
      <c r="T36" s="34"/>
      <c r="U36" s="34"/>
      <c r="V36" s="34" t="s">
        <v>8</v>
      </c>
      <c r="W36" s="33">
        <v>104.36</v>
      </c>
      <c r="X36" s="40"/>
      <c r="Y36" s="34"/>
    </row>
    <row r="37" spans="2:25" x14ac:dyDescent="0.25">
      <c r="B37" s="39" t="s">
        <v>9</v>
      </c>
      <c r="C37" s="33">
        <v>112.54</v>
      </c>
      <c r="D37" s="34"/>
      <c r="E37" s="34"/>
      <c r="F37" s="34" t="s">
        <v>9</v>
      </c>
      <c r="G37" s="33">
        <v>69.94</v>
      </c>
      <c r="H37" s="34"/>
      <c r="I37" s="34"/>
      <c r="J37" s="34" t="s">
        <v>9</v>
      </c>
      <c r="K37" s="34"/>
      <c r="L37" s="34"/>
      <c r="M37" s="34"/>
      <c r="N37" s="34" t="s">
        <v>9</v>
      </c>
      <c r="O37" s="34"/>
      <c r="P37" s="40"/>
      <c r="Q37" s="34"/>
      <c r="R37" s="39" t="s">
        <v>9</v>
      </c>
      <c r="S37" s="34"/>
      <c r="T37" s="34"/>
      <c r="U37" s="34"/>
      <c r="V37" s="34" t="s">
        <v>9</v>
      </c>
      <c r="W37" s="33">
        <v>74.91</v>
      </c>
      <c r="X37" s="40"/>
      <c r="Y37" s="34"/>
    </row>
    <row r="38" spans="2:25" x14ac:dyDescent="0.25">
      <c r="B38" s="39" t="s">
        <v>10</v>
      </c>
      <c r="C38" s="33">
        <v>144.43</v>
      </c>
      <c r="D38" s="34"/>
      <c r="E38" s="34"/>
      <c r="F38" s="34" t="s">
        <v>10</v>
      </c>
      <c r="G38" s="33">
        <v>77.67</v>
      </c>
      <c r="H38" s="34"/>
      <c r="I38" s="34"/>
      <c r="J38" s="34" t="s">
        <v>10</v>
      </c>
      <c r="K38" s="34">
        <v>14.82</v>
      </c>
      <c r="L38" s="34"/>
      <c r="M38" s="34"/>
      <c r="N38" s="34" t="s">
        <v>10</v>
      </c>
      <c r="O38" s="34"/>
      <c r="P38" s="40"/>
      <c r="Q38" s="34"/>
      <c r="R38" s="39" t="s">
        <v>10</v>
      </c>
      <c r="S38" s="34"/>
      <c r="T38" s="34"/>
      <c r="U38" s="34"/>
      <c r="V38" s="34" t="s">
        <v>10</v>
      </c>
      <c r="W38" s="33">
        <v>54.71</v>
      </c>
      <c r="X38" s="40"/>
      <c r="Y38" s="34"/>
    </row>
    <row r="39" spans="2:25" x14ac:dyDescent="0.25">
      <c r="B39" s="39" t="s">
        <v>11</v>
      </c>
      <c r="C39" s="33">
        <v>132.13</v>
      </c>
      <c r="D39" s="34"/>
      <c r="E39" s="34"/>
      <c r="F39" s="34" t="s">
        <v>11</v>
      </c>
      <c r="G39" s="33">
        <v>70.23</v>
      </c>
      <c r="H39" s="34"/>
      <c r="I39" s="34"/>
      <c r="J39" s="34" t="s">
        <v>11</v>
      </c>
      <c r="K39" s="34">
        <v>47.8</v>
      </c>
      <c r="L39" s="34"/>
      <c r="M39" s="34"/>
      <c r="N39" s="34" t="s">
        <v>11</v>
      </c>
      <c r="O39" s="34"/>
      <c r="P39" s="40"/>
      <c r="Q39" s="34"/>
      <c r="R39" s="39" t="s">
        <v>11</v>
      </c>
      <c r="S39" s="34"/>
      <c r="T39" s="34"/>
      <c r="U39" s="34"/>
      <c r="V39" s="34" t="s">
        <v>11</v>
      </c>
      <c r="W39" s="33">
        <v>76.19</v>
      </c>
      <c r="X39" s="40"/>
      <c r="Y39" s="34"/>
    </row>
    <row r="40" spans="2:25" x14ac:dyDescent="0.25">
      <c r="B40" s="39" t="s">
        <v>12</v>
      </c>
      <c r="C40" s="33">
        <v>129</v>
      </c>
      <c r="D40" s="34"/>
      <c r="E40" s="34"/>
      <c r="F40" s="34" t="s">
        <v>12</v>
      </c>
      <c r="G40" s="33">
        <v>75.290000000000006</v>
      </c>
      <c r="H40" s="34"/>
      <c r="I40" s="34"/>
      <c r="J40" s="34" t="s">
        <v>12</v>
      </c>
      <c r="K40" s="34">
        <v>47.99</v>
      </c>
      <c r="L40" s="34"/>
      <c r="M40" s="34"/>
      <c r="N40" s="34" t="s">
        <v>12</v>
      </c>
      <c r="O40" s="34"/>
      <c r="P40" s="40"/>
      <c r="Q40" s="34"/>
      <c r="R40" s="39" t="s">
        <v>12</v>
      </c>
      <c r="S40" s="34"/>
      <c r="T40" s="34"/>
      <c r="U40" s="34"/>
      <c r="V40" s="34" t="s">
        <v>12</v>
      </c>
      <c r="W40" s="33">
        <v>62.35</v>
      </c>
      <c r="X40" s="40"/>
      <c r="Y40" s="34"/>
    </row>
    <row r="41" spans="2:25" x14ac:dyDescent="0.25">
      <c r="B41" s="39" t="s">
        <v>13</v>
      </c>
      <c r="C41" s="33">
        <v>118.16</v>
      </c>
      <c r="D41" s="34"/>
      <c r="E41" s="34"/>
      <c r="F41" s="34" t="s">
        <v>13</v>
      </c>
      <c r="G41" s="33">
        <v>82.93</v>
      </c>
      <c r="H41" s="34"/>
      <c r="I41" s="34"/>
      <c r="J41" s="34" t="s">
        <v>13</v>
      </c>
      <c r="K41" s="33">
        <v>46.79</v>
      </c>
      <c r="L41" s="34"/>
      <c r="M41" s="34"/>
      <c r="N41" s="34" t="s">
        <v>13</v>
      </c>
      <c r="O41" s="34"/>
      <c r="P41" s="40"/>
      <c r="Q41" s="34"/>
      <c r="R41" s="39" t="s">
        <v>13</v>
      </c>
      <c r="S41" s="34"/>
      <c r="T41" s="34"/>
      <c r="U41" s="34"/>
      <c r="V41" s="34" t="s">
        <v>13</v>
      </c>
      <c r="W41" s="33">
        <v>64.989999999999995</v>
      </c>
      <c r="X41" s="40"/>
      <c r="Y41" s="34"/>
    </row>
    <row r="42" spans="2:25" x14ac:dyDescent="0.25">
      <c r="B42" s="48" t="s">
        <v>14</v>
      </c>
      <c r="C42" s="1">
        <v>111.27</v>
      </c>
      <c r="D42" s="34"/>
      <c r="E42" s="34"/>
      <c r="F42" s="1" t="s">
        <v>14</v>
      </c>
      <c r="G42" s="1">
        <v>158.38</v>
      </c>
      <c r="H42" s="34"/>
      <c r="I42" s="34"/>
      <c r="J42" s="1" t="s">
        <v>14</v>
      </c>
      <c r="K42" s="1">
        <v>45.63</v>
      </c>
      <c r="L42" s="34"/>
      <c r="M42" s="34"/>
      <c r="N42" s="1" t="s">
        <v>14</v>
      </c>
      <c r="O42" s="1"/>
      <c r="P42" s="40"/>
      <c r="Q42" s="34"/>
      <c r="R42" s="48" t="s">
        <v>14</v>
      </c>
      <c r="S42" s="1"/>
      <c r="T42" s="34"/>
      <c r="U42" s="34"/>
      <c r="V42" s="1" t="s">
        <v>14</v>
      </c>
      <c r="W42" s="82">
        <v>57.72</v>
      </c>
      <c r="X42" s="40"/>
      <c r="Y42" s="34"/>
    </row>
    <row r="43" spans="2:25" s="2" customFormat="1" x14ac:dyDescent="0.25">
      <c r="B43" s="70" t="s">
        <v>17</v>
      </c>
      <c r="C43" s="92">
        <f>SUM(C31:C42)</f>
        <v>1452.1200000000001</v>
      </c>
      <c r="D43" s="71"/>
      <c r="E43" s="71"/>
      <c r="F43" s="72" t="s">
        <v>17</v>
      </c>
      <c r="G43" s="92">
        <f>SUM(G31:G42)</f>
        <v>1655.62</v>
      </c>
      <c r="H43" s="71"/>
      <c r="I43" s="71"/>
      <c r="J43" s="72" t="s">
        <v>17</v>
      </c>
      <c r="K43" s="92">
        <f>SUM(K31:K42)</f>
        <v>203.03</v>
      </c>
      <c r="L43" s="71"/>
      <c r="M43" s="71"/>
      <c r="N43" s="72" t="s">
        <v>17</v>
      </c>
      <c r="O43" s="71">
        <f>SUM(O31:O42)</f>
        <v>0</v>
      </c>
      <c r="P43" s="73"/>
      <c r="Q43" s="71"/>
      <c r="R43" s="70" t="s">
        <v>17</v>
      </c>
      <c r="S43" s="71">
        <f>SUM(S31:S42)</f>
        <v>0</v>
      </c>
      <c r="T43" s="71"/>
      <c r="U43" s="71"/>
      <c r="V43" s="72" t="s">
        <v>17</v>
      </c>
      <c r="W43" s="92">
        <f>SUM(W31:W42)</f>
        <v>997.32</v>
      </c>
      <c r="X43" s="73"/>
      <c r="Y43" s="71"/>
    </row>
    <row r="44" spans="2:25" x14ac:dyDescent="0.25">
      <c r="B44" s="39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40"/>
      <c r="Q44" s="34"/>
      <c r="R44" s="39"/>
      <c r="S44" s="34"/>
      <c r="T44" s="34"/>
      <c r="U44" s="34"/>
      <c r="V44" s="34"/>
      <c r="W44" s="34"/>
      <c r="X44" s="40"/>
      <c r="Y44" s="34"/>
    </row>
    <row r="45" spans="2:25" ht="15.75" thickBot="1" x14ac:dyDescent="0.3">
      <c r="B45" s="39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40"/>
      <c r="Q45" s="34"/>
      <c r="R45" s="39"/>
      <c r="S45" s="34"/>
      <c r="T45" s="34"/>
      <c r="U45" s="34"/>
      <c r="V45" s="34"/>
      <c r="W45" s="34"/>
      <c r="X45" s="40"/>
      <c r="Y45" s="34"/>
    </row>
    <row r="46" spans="2:25" ht="15.75" thickBot="1" x14ac:dyDescent="0.3">
      <c r="B46" s="39" t="s">
        <v>127</v>
      </c>
      <c r="C46" s="11"/>
      <c r="D46" s="34"/>
      <c r="E46" s="34"/>
      <c r="F46" s="34"/>
      <c r="G46" s="65">
        <f>-G43*(4/5)</f>
        <v>-1324.4960000000001</v>
      </c>
      <c r="H46" s="34"/>
      <c r="I46" s="34"/>
      <c r="J46" s="34"/>
      <c r="K46" s="11"/>
      <c r="L46" s="34"/>
      <c r="M46" s="34"/>
      <c r="N46" s="34"/>
      <c r="O46" s="11"/>
      <c r="P46" s="40"/>
      <c r="Q46" s="34"/>
      <c r="R46" s="39"/>
      <c r="S46" s="11"/>
      <c r="T46" s="34"/>
      <c r="U46" s="34"/>
      <c r="V46" s="34"/>
      <c r="W46" s="11"/>
      <c r="X46" s="40"/>
      <c r="Y46" s="34"/>
    </row>
    <row r="47" spans="2:25" x14ac:dyDescent="0.25">
      <c r="B47" s="39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40"/>
      <c r="Q47" s="34"/>
      <c r="R47" s="39"/>
      <c r="S47" s="34"/>
      <c r="T47" s="34"/>
      <c r="U47" s="34"/>
      <c r="V47" s="34"/>
      <c r="W47" s="34"/>
      <c r="X47" s="40"/>
      <c r="Y47" s="34"/>
    </row>
    <row r="48" spans="2:25" x14ac:dyDescent="0.25">
      <c r="B48" s="39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40"/>
      <c r="Q48" s="34"/>
      <c r="R48" s="39"/>
      <c r="S48" s="34"/>
      <c r="T48" s="34"/>
      <c r="U48" s="34"/>
      <c r="V48" s="34"/>
      <c r="W48" s="34"/>
      <c r="X48" s="40"/>
      <c r="Y48" s="34"/>
    </row>
    <row r="49" spans="1:25" ht="15.75" thickBot="1" x14ac:dyDescent="0.3">
      <c r="B49" s="39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40"/>
      <c r="Q49" s="34"/>
      <c r="R49" s="39"/>
      <c r="S49" s="34"/>
      <c r="T49" s="34"/>
      <c r="U49" s="34"/>
      <c r="V49" s="34"/>
      <c r="W49" s="34"/>
      <c r="X49" s="40"/>
      <c r="Y49" s="34"/>
    </row>
    <row r="50" spans="1:25" s="2" customFormat="1" ht="15.75" thickBot="1" x14ac:dyDescent="0.3">
      <c r="B50" s="74" t="s">
        <v>72</v>
      </c>
      <c r="C50" s="81">
        <f>C43+G43+K43+O43</f>
        <v>3310.77</v>
      </c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3"/>
      <c r="Q50" s="71"/>
      <c r="R50" s="74" t="s">
        <v>72</v>
      </c>
      <c r="S50" s="93">
        <f>S43+W43</f>
        <v>997.32</v>
      </c>
      <c r="T50" s="71"/>
      <c r="U50" s="71"/>
      <c r="V50" s="71"/>
      <c r="W50" s="71"/>
      <c r="X50" s="73"/>
      <c r="Y50" s="71"/>
    </row>
    <row r="51" spans="1:25" x14ac:dyDescent="0.25">
      <c r="B51" s="39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40"/>
      <c r="Q51" s="34"/>
      <c r="R51" s="39"/>
      <c r="S51" s="34"/>
      <c r="T51" s="34"/>
      <c r="U51" s="34"/>
      <c r="V51" s="34"/>
      <c r="W51" s="34"/>
      <c r="X51" s="40"/>
      <c r="Y51" s="34"/>
    </row>
    <row r="52" spans="1:25" ht="15.75" thickBot="1" x14ac:dyDescent="0.3">
      <c r="B52" s="44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6"/>
      <c r="Q52" s="34"/>
      <c r="R52" s="44"/>
      <c r="S52" s="45"/>
      <c r="T52" s="45"/>
      <c r="U52" s="45"/>
      <c r="V52" s="45"/>
      <c r="W52" s="45"/>
      <c r="X52" s="46"/>
      <c r="Y52" s="34"/>
    </row>
    <row r="56" spans="1:25" x14ac:dyDescent="0.25">
      <c r="A56" t="s">
        <v>58</v>
      </c>
      <c r="V56" s="34"/>
      <c r="W56" s="34"/>
    </row>
    <row r="57" spans="1:25" x14ac:dyDescent="0.25">
      <c r="V57" s="34"/>
      <c r="W57" s="34"/>
    </row>
    <row r="58" spans="1:25" x14ac:dyDescent="0.25">
      <c r="B58" s="121" t="s">
        <v>143</v>
      </c>
      <c r="C58" s="121"/>
      <c r="D58" s="121"/>
      <c r="E58" s="121" t="s">
        <v>144</v>
      </c>
      <c r="V58" s="34"/>
      <c r="W58" s="34"/>
    </row>
    <row r="59" spans="1:25" x14ac:dyDescent="0.25">
      <c r="V59" s="34"/>
      <c r="W59" s="33"/>
    </row>
    <row r="60" spans="1:25" x14ac:dyDescent="0.25">
      <c r="B60" t="s">
        <v>20</v>
      </c>
      <c r="C60" t="s">
        <v>42</v>
      </c>
      <c r="E60" t="s">
        <v>20</v>
      </c>
      <c r="F60" t="s">
        <v>42</v>
      </c>
      <c r="V60" s="34"/>
      <c r="W60" s="33"/>
    </row>
    <row r="61" spans="1:25" x14ac:dyDescent="0.25">
      <c r="B61" t="s">
        <v>3</v>
      </c>
      <c r="C61">
        <v>214.26</v>
      </c>
      <c r="E61" t="s">
        <v>3</v>
      </c>
      <c r="F61">
        <v>210.62</v>
      </c>
      <c r="V61" s="34"/>
      <c r="W61" s="33"/>
    </row>
    <row r="62" spans="1:25" x14ac:dyDescent="0.25">
      <c r="B62" t="s">
        <v>5</v>
      </c>
      <c r="C62">
        <v>241.14</v>
      </c>
      <c r="E62" t="s">
        <v>5</v>
      </c>
      <c r="F62">
        <v>186.76</v>
      </c>
      <c r="V62" s="34"/>
      <c r="W62" s="33"/>
    </row>
    <row r="63" spans="1:25" x14ac:dyDescent="0.25">
      <c r="B63" t="s">
        <v>7</v>
      </c>
      <c r="C63">
        <v>234.27</v>
      </c>
      <c r="E63" t="s">
        <v>7</v>
      </c>
      <c r="F63">
        <v>184.19</v>
      </c>
      <c r="V63" s="34"/>
      <c r="W63" s="33"/>
    </row>
    <row r="64" spans="1:25" x14ac:dyDescent="0.25">
      <c r="B64" t="s">
        <v>9</v>
      </c>
      <c r="C64">
        <v>241.94</v>
      </c>
      <c r="E64" t="s">
        <v>8</v>
      </c>
      <c r="F64">
        <v>159.38</v>
      </c>
      <c r="V64" s="34"/>
      <c r="W64" s="33"/>
    </row>
    <row r="65" spans="1:24" x14ac:dyDescent="0.25">
      <c r="B65" t="s">
        <v>11</v>
      </c>
      <c r="C65">
        <v>221.24</v>
      </c>
      <c r="E65" t="s">
        <v>10</v>
      </c>
      <c r="F65">
        <v>131.78</v>
      </c>
      <c r="V65" s="34"/>
      <c r="W65" s="33"/>
    </row>
    <row r="66" spans="1:24" x14ac:dyDescent="0.25">
      <c r="B66" t="s">
        <v>13</v>
      </c>
      <c r="C66">
        <v>221.24</v>
      </c>
      <c r="E66" t="s">
        <v>12</v>
      </c>
      <c r="F66">
        <v>145.58000000000001</v>
      </c>
      <c r="U66" s="34"/>
      <c r="V66" s="34"/>
      <c r="W66" s="33"/>
      <c r="X66" s="34"/>
    </row>
    <row r="67" spans="1:24" x14ac:dyDescent="0.25">
      <c r="B67" t="s">
        <v>9</v>
      </c>
      <c r="E67" t="s">
        <v>14</v>
      </c>
      <c r="F67">
        <v>142.13</v>
      </c>
      <c r="U67" s="34"/>
      <c r="V67" s="34"/>
      <c r="W67" s="34"/>
      <c r="X67" s="34"/>
    </row>
    <row r="68" spans="1:24" ht="15.75" thickBot="1" x14ac:dyDescent="0.3">
      <c r="B68" s="1"/>
      <c r="C68" s="34"/>
      <c r="E68" s="1"/>
      <c r="F68" s="34"/>
    </row>
    <row r="69" spans="1:24" ht="15.75" thickBot="1" x14ac:dyDescent="0.3">
      <c r="B69" s="33" t="s">
        <v>17</v>
      </c>
      <c r="C69" s="11">
        <f>SUM(C61:C68)</f>
        <v>1374.09</v>
      </c>
      <c r="E69" s="33" t="s">
        <v>17</v>
      </c>
      <c r="F69" s="11">
        <f>SUM(F61:F68)</f>
        <v>1160.44</v>
      </c>
      <c r="I69" t="s">
        <v>40</v>
      </c>
      <c r="J69" s="11">
        <f>C69+F69</f>
        <v>2534.5299999999997</v>
      </c>
    </row>
    <row r="70" spans="1:24" ht="15.75" thickBot="1" x14ac:dyDescent="0.3"/>
    <row r="71" spans="1:24" ht="15.75" thickBot="1" x14ac:dyDescent="0.3">
      <c r="A71" t="s">
        <v>129</v>
      </c>
      <c r="C71" s="11">
        <f>-C69*(1/5)</f>
        <v>-274.81799999999998</v>
      </c>
      <c r="F71" s="11"/>
    </row>
    <row r="75" spans="1:24" ht="15.75" thickBot="1" x14ac:dyDescent="0.3"/>
    <row r="76" spans="1:24" ht="15.75" thickBot="1" x14ac:dyDescent="0.3">
      <c r="A76" t="s">
        <v>71</v>
      </c>
      <c r="B76" s="121" t="s">
        <v>143</v>
      </c>
      <c r="C76" s="94">
        <f>C19+C50+C69</f>
        <v>5735.5</v>
      </c>
      <c r="E76" s="121" t="s">
        <v>144</v>
      </c>
      <c r="F76" s="94">
        <f>F19+S50+F69</f>
        <v>2980.1600000000003</v>
      </c>
      <c r="J76" s="94">
        <f>C76+F76</f>
        <v>8715.66</v>
      </c>
    </row>
    <row r="78" spans="1:24" ht="15.75" thickBot="1" x14ac:dyDescent="0.3"/>
    <row r="79" spans="1:24" ht="15.75" thickBot="1" x14ac:dyDescent="0.3">
      <c r="A79" t="s">
        <v>127</v>
      </c>
      <c r="C79" s="94">
        <f>C21+C46+G46+K46+O46+C71</f>
        <v>-1599.3140000000001</v>
      </c>
      <c r="F79" s="11">
        <f>F21+S46+W46+F71</f>
        <v>0</v>
      </c>
      <c r="J79" s="94">
        <f>C79+F79</f>
        <v>-1599.3140000000001</v>
      </c>
    </row>
    <row r="80" spans="1:24" ht="15.75" thickBot="1" x14ac:dyDescent="0.3"/>
    <row r="81" spans="1:10" ht="18" thickBot="1" x14ac:dyDescent="0.45">
      <c r="A81" t="s">
        <v>128</v>
      </c>
      <c r="C81" s="95">
        <f>C76+C79</f>
        <v>4136.1859999999997</v>
      </c>
      <c r="F81" s="11"/>
      <c r="J81" s="94">
        <f>C81+F81</f>
        <v>4136.1859999999997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9"/>
  <sheetViews>
    <sheetView workbookViewId="0">
      <selection activeCell="E25" sqref="E25"/>
    </sheetView>
  </sheetViews>
  <sheetFormatPr defaultRowHeight="15" x14ac:dyDescent="0.25"/>
  <cols>
    <col min="2" max="2" width="31.85546875" customWidth="1"/>
    <col min="3" max="3" width="11.5703125" bestFit="1" customWidth="1"/>
    <col min="5" max="5" width="6.42578125" customWidth="1"/>
    <col min="6" max="6" width="13.140625" customWidth="1"/>
    <col min="7" max="7" width="11.140625" customWidth="1"/>
    <col min="8" max="8" width="12" customWidth="1"/>
    <col min="9" max="9" width="16" style="75" customWidth="1"/>
    <col min="10" max="10" width="10.5703125" bestFit="1" customWidth="1"/>
    <col min="12" max="12" width="11.5703125" style="12" customWidth="1"/>
    <col min="13" max="13" width="14.7109375" style="12" customWidth="1"/>
    <col min="14" max="14" width="14" customWidth="1"/>
    <col min="15" max="15" width="9.7109375" customWidth="1"/>
    <col min="16" max="16" width="14.28515625" style="12" customWidth="1"/>
    <col min="17" max="17" width="13" customWidth="1"/>
    <col min="18" max="18" width="13.5703125" customWidth="1"/>
  </cols>
  <sheetData>
    <row r="1" spans="2:17" ht="15.75" thickBot="1" x14ac:dyDescent="0.3">
      <c r="P1"/>
    </row>
    <row r="2" spans="2:17" x14ac:dyDescent="0.25">
      <c r="B2" s="49" t="s">
        <v>61</v>
      </c>
      <c r="C2" s="56" t="s">
        <v>165</v>
      </c>
      <c r="F2" t="s">
        <v>26</v>
      </c>
      <c r="I2" s="75" t="s">
        <v>63</v>
      </c>
      <c r="L2" s="12" t="s">
        <v>54</v>
      </c>
      <c r="P2"/>
    </row>
    <row r="3" spans="2:17" x14ac:dyDescent="0.25">
      <c r="B3" s="39" t="s">
        <v>59</v>
      </c>
      <c r="C3" s="53">
        <v>249318</v>
      </c>
      <c r="F3" t="s">
        <v>20</v>
      </c>
      <c r="G3" t="s">
        <v>42</v>
      </c>
      <c r="I3" s="75" t="s">
        <v>20</v>
      </c>
      <c r="J3" t="s">
        <v>42</v>
      </c>
      <c r="L3" s="16" t="s">
        <v>20</v>
      </c>
      <c r="M3" s="12" t="s">
        <v>42</v>
      </c>
      <c r="P3" s="27"/>
      <c r="Q3" s="27"/>
    </row>
    <row r="4" spans="2:17" x14ac:dyDescent="0.25">
      <c r="B4" s="48" t="s">
        <v>60</v>
      </c>
      <c r="C4" s="54">
        <v>258751</v>
      </c>
      <c r="F4" s="58" t="s">
        <v>3</v>
      </c>
      <c r="G4" s="12">
        <v>84.35</v>
      </c>
      <c r="H4" s="12"/>
      <c r="I4" s="10">
        <v>44928</v>
      </c>
      <c r="J4" s="12">
        <v>90.01</v>
      </c>
      <c r="L4" s="16"/>
      <c r="P4" s="27"/>
      <c r="Q4" s="27"/>
    </row>
    <row r="5" spans="2:17" ht="18" thickBot="1" x14ac:dyDescent="0.45">
      <c r="B5" s="55" t="s">
        <v>62</v>
      </c>
      <c r="C5" s="57">
        <f>C4-C3</f>
        <v>9433</v>
      </c>
      <c r="F5" s="58" t="s">
        <v>4</v>
      </c>
      <c r="G5" s="12">
        <v>84.35</v>
      </c>
      <c r="H5" s="12"/>
      <c r="I5" s="10">
        <v>44953</v>
      </c>
      <c r="J5" s="12">
        <v>80</v>
      </c>
      <c r="L5" s="10">
        <v>45322</v>
      </c>
      <c r="M5" s="12">
        <v>168.37</v>
      </c>
      <c r="N5" t="s">
        <v>126</v>
      </c>
      <c r="P5" s="27"/>
    </row>
    <row r="6" spans="2:17" x14ac:dyDescent="0.25">
      <c r="F6" s="58" t="s">
        <v>5</v>
      </c>
      <c r="G6" s="12">
        <v>84.35</v>
      </c>
      <c r="H6" s="12"/>
      <c r="I6" s="10">
        <v>44966</v>
      </c>
      <c r="J6" s="12">
        <v>91</v>
      </c>
      <c r="L6" s="10">
        <v>44962</v>
      </c>
      <c r="M6" s="12">
        <v>7.9</v>
      </c>
      <c r="N6" t="s">
        <v>162</v>
      </c>
      <c r="P6" s="27"/>
    </row>
    <row r="7" spans="2:17" x14ac:dyDescent="0.25">
      <c r="F7" s="58" t="s">
        <v>6</v>
      </c>
      <c r="G7" s="12">
        <v>84.35</v>
      </c>
      <c r="H7" s="12"/>
      <c r="I7" s="10">
        <v>44983</v>
      </c>
      <c r="J7" s="12">
        <v>90.01</v>
      </c>
      <c r="L7" s="10"/>
      <c r="P7" s="28"/>
    </row>
    <row r="8" spans="2:17" x14ac:dyDescent="0.25">
      <c r="B8" t="s">
        <v>64</v>
      </c>
      <c r="C8" s="59">
        <f>C5</f>
        <v>9433</v>
      </c>
      <c r="F8" s="58" t="s">
        <v>7</v>
      </c>
      <c r="G8" s="12">
        <v>84.35</v>
      </c>
      <c r="H8" s="12"/>
      <c r="I8" s="10">
        <v>45010</v>
      </c>
      <c r="J8" s="12">
        <v>101.5</v>
      </c>
      <c r="L8" s="10">
        <v>45063</v>
      </c>
      <c r="M8" s="12">
        <v>1726.64</v>
      </c>
      <c r="N8" t="s">
        <v>163</v>
      </c>
    </row>
    <row r="9" spans="2:17" x14ac:dyDescent="0.25">
      <c r="F9" s="58" t="s">
        <v>8</v>
      </c>
      <c r="G9" s="12">
        <v>84.35</v>
      </c>
      <c r="H9" s="12"/>
      <c r="I9" s="10">
        <v>45016</v>
      </c>
      <c r="J9" s="12">
        <v>38.1</v>
      </c>
      <c r="L9" s="10">
        <v>45065</v>
      </c>
      <c r="M9" s="12">
        <v>126</v>
      </c>
      <c r="N9" t="s">
        <v>164</v>
      </c>
    </row>
    <row r="10" spans="2:17" x14ac:dyDescent="0.25">
      <c r="B10" t="s">
        <v>65</v>
      </c>
      <c r="C10" s="21">
        <f>'Office Expenses'!G14+Management!F9+'Repairs &amp; Maintenance'!O49</f>
        <v>348.40000000000009</v>
      </c>
      <c r="F10" s="58" t="s">
        <v>9</v>
      </c>
      <c r="G10" s="12">
        <v>84.35</v>
      </c>
      <c r="H10" s="12"/>
      <c r="I10" s="10">
        <v>45018</v>
      </c>
      <c r="J10" s="12">
        <v>120</v>
      </c>
      <c r="L10" s="10">
        <v>45065</v>
      </c>
      <c r="M10" s="12">
        <v>968.44</v>
      </c>
      <c r="N10" t="s">
        <v>164</v>
      </c>
    </row>
    <row r="11" spans="2:17" x14ac:dyDescent="0.25">
      <c r="F11" s="58" t="s">
        <v>10</v>
      </c>
      <c r="G11" s="12">
        <v>84.35</v>
      </c>
      <c r="H11" s="12"/>
      <c r="I11" s="10">
        <v>45018</v>
      </c>
      <c r="J11" s="12">
        <v>88</v>
      </c>
      <c r="L11" s="10"/>
    </row>
    <row r="12" spans="2:17" x14ac:dyDescent="0.25">
      <c r="B12" t="s">
        <v>66</v>
      </c>
      <c r="C12" s="60">
        <f>C10/C8</f>
        <v>3.6934167285063088E-2</v>
      </c>
      <c r="F12" s="58" t="s">
        <v>11</v>
      </c>
      <c r="G12" s="12">
        <v>84.35</v>
      </c>
      <c r="H12" s="12"/>
      <c r="I12" s="10">
        <v>45026</v>
      </c>
      <c r="J12" s="12">
        <v>104.42</v>
      </c>
      <c r="L12" s="10"/>
      <c r="O12" s="22"/>
      <c r="P12" s="16"/>
    </row>
    <row r="13" spans="2:17" x14ac:dyDescent="0.25">
      <c r="F13" s="58" t="s">
        <v>12</v>
      </c>
      <c r="G13" s="12">
        <v>84.35</v>
      </c>
      <c r="H13" s="12"/>
      <c r="I13" s="10">
        <v>45029</v>
      </c>
      <c r="J13" s="12">
        <v>20.65</v>
      </c>
      <c r="L13" s="10"/>
      <c r="O13" s="22"/>
      <c r="P13" s="16"/>
    </row>
    <row r="14" spans="2:17" x14ac:dyDescent="0.25">
      <c r="F14" s="58" t="s">
        <v>13</v>
      </c>
      <c r="G14" s="16">
        <v>82.02</v>
      </c>
      <c r="H14" s="12"/>
      <c r="I14" s="10">
        <v>45031</v>
      </c>
      <c r="J14" s="12">
        <v>20.65</v>
      </c>
      <c r="L14" s="10"/>
      <c r="O14" s="30"/>
    </row>
    <row r="15" spans="2:17" x14ac:dyDescent="0.25">
      <c r="B15" t="s">
        <v>68</v>
      </c>
      <c r="C15" s="4">
        <f>G16</f>
        <v>1007.5400000000001</v>
      </c>
      <c r="F15" s="67" t="s">
        <v>14</v>
      </c>
      <c r="G15" s="23">
        <v>82.02</v>
      </c>
      <c r="H15" s="12"/>
      <c r="I15" s="10">
        <v>45031</v>
      </c>
      <c r="J15" s="12">
        <v>23</v>
      </c>
      <c r="L15" s="10"/>
      <c r="O15" s="30"/>
    </row>
    <row r="16" spans="2:17" x14ac:dyDescent="0.25">
      <c r="B16" t="s">
        <v>67</v>
      </c>
      <c r="C16" s="4">
        <f>J27</f>
        <v>1195.3399999999997</v>
      </c>
      <c r="F16" s="68" t="s">
        <v>17</v>
      </c>
      <c r="G16" s="3">
        <f>SUM(G4:G15)</f>
        <v>1007.5400000000001</v>
      </c>
      <c r="H16" s="3"/>
      <c r="I16" s="10">
        <v>45038</v>
      </c>
      <c r="J16" s="12">
        <v>15.55</v>
      </c>
      <c r="K16" s="12"/>
      <c r="L16" s="10"/>
      <c r="O16" s="30"/>
    </row>
    <row r="17" spans="2:15" x14ac:dyDescent="0.25">
      <c r="B17" t="s">
        <v>69</v>
      </c>
      <c r="C17" s="4">
        <f>M22</f>
        <v>2997.3500000000004</v>
      </c>
      <c r="F17" s="69"/>
      <c r="G17" s="2"/>
      <c r="H17" s="2"/>
      <c r="I17" s="10">
        <v>45044</v>
      </c>
      <c r="J17" s="12">
        <v>22.15</v>
      </c>
      <c r="L17" s="10"/>
      <c r="O17" s="30"/>
    </row>
    <row r="18" spans="2:15" ht="15.75" thickBot="1" x14ac:dyDescent="0.3">
      <c r="H18" s="29"/>
      <c r="I18" s="10">
        <v>45056</v>
      </c>
      <c r="J18" s="12">
        <v>20.3</v>
      </c>
      <c r="L18" s="10"/>
      <c r="O18" s="30"/>
    </row>
    <row r="19" spans="2:15" ht="15.75" thickBot="1" x14ac:dyDescent="0.3">
      <c r="B19" s="78" t="s">
        <v>105</v>
      </c>
      <c r="C19" s="117">
        <f>C15+C16+C17</f>
        <v>5200.2299999999996</v>
      </c>
      <c r="I19" s="10">
        <v>45059</v>
      </c>
      <c r="J19" s="12">
        <v>98.5</v>
      </c>
      <c r="L19" s="10"/>
      <c r="O19" s="30"/>
    </row>
    <row r="20" spans="2:15" ht="15.75" thickBot="1" x14ac:dyDescent="0.3">
      <c r="B20" s="74"/>
      <c r="C20" s="73"/>
      <c r="F20" s="31"/>
      <c r="H20" s="4"/>
      <c r="I20" s="10">
        <v>45064</v>
      </c>
      <c r="J20" s="12">
        <v>10</v>
      </c>
      <c r="L20" s="10"/>
      <c r="O20" s="30"/>
    </row>
    <row r="21" spans="2:15" ht="15.75" thickBot="1" x14ac:dyDescent="0.3">
      <c r="B21" s="74" t="s">
        <v>106</v>
      </c>
      <c r="C21" s="117">
        <f>C23-C19</f>
        <v>-5008.1638352591963</v>
      </c>
      <c r="F21" s="29"/>
      <c r="I21" s="10">
        <v>45068</v>
      </c>
      <c r="J21" s="12">
        <v>20</v>
      </c>
      <c r="L21" s="67"/>
      <c r="M21" s="18"/>
      <c r="N21" s="1"/>
      <c r="O21" s="30"/>
    </row>
    <row r="22" spans="2:15" ht="15.75" thickBot="1" x14ac:dyDescent="0.3">
      <c r="B22" s="74"/>
      <c r="C22" s="73"/>
      <c r="F22" s="29"/>
      <c r="I22" s="10">
        <v>45073</v>
      </c>
      <c r="J22" s="12">
        <v>23.5</v>
      </c>
      <c r="L22" s="24" t="s">
        <v>17</v>
      </c>
      <c r="M22" s="24">
        <f>SUM(M4:M21)</f>
        <v>2997.3500000000004</v>
      </c>
      <c r="N22" s="24"/>
      <c r="O22" s="10"/>
    </row>
    <row r="23" spans="2:15" ht="15.75" thickBot="1" x14ac:dyDescent="0.3">
      <c r="B23" s="79" t="s">
        <v>107</v>
      </c>
      <c r="C23" s="117">
        <f>C19*$C$12</f>
        <v>192.0661647408036</v>
      </c>
      <c r="F23" s="29"/>
      <c r="I23" s="10">
        <v>45078</v>
      </c>
      <c r="J23" s="12">
        <v>93.5</v>
      </c>
      <c r="O23" s="10"/>
    </row>
    <row r="24" spans="2:15" x14ac:dyDescent="0.25">
      <c r="F24" s="29"/>
      <c r="I24" s="10">
        <v>45079</v>
      </c>
      <c r="J24" s="12">
        <v>24.5</v>
      </c>
      <c r="L24"/>
      <c r="O24" s="10"/>
    </row>
    <row r="25" spans="2:15" x14ac:dyDescent="0.25">
      <c r="I25" s="10"/>
      <c r="J25" s="12"/>
    </row>
    <row r="26" spans="2:15" x14ac:dyDescent="0.25">
      <c r="I26" s="77"/>
      <c r="J26" s="1"/>
    </row>
    <row r="27" spans="2:15" x14ac:dyDescent="0.25">
      <c r="I27" s="76" t="s">
        <v>17</v>
      </c>
      <c r="J27" s="7">
        <f>SUM(J4:J26)</f>
        <v>1195.3399999999997</v>
      </c>
    </row>
    <row r="29" spans="2:15" x14ac:dyDescent="0.25">
      <c r="I29" s="75" t="s">
        <v>112</v>
      </c>
      <c r="J29" s="4">
        <f>J27/12</f>
        <v>99.611666666666636</v>
      </c>
    </row>
  </sheetData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0"/>
  <sheetViews>
    <sheetView workbookViewId="0">
      <selection activeCell="K4" sqref="K4"/>
    </sheetView>
  </sheetViews>
  <sheetFormatPr defaultRowHeight="15" x14ac:dyDescent="0.25"/>
  <sheetData>
    <row r="2" spans="2:5" x14ac:dyDescent="0.25">
      <c r="B2" t="s">
        <v>1</v>
      </c>
      <c r="C2" t="s">
        <v>43</v>
      </c>
      <c r="D2" t="s">
        <v>41</v>
      </c>
      <c r="E2" t="s">
        <v>42</v>
      </c>
    </row>
    <row r="9" spans="2:5" x14ac:dyDescent="0.25">
      <c r="E9" s="1"/>
    </row>
    <row r="10" spans="2:5" x14ac:dyDescent="0.25">
      <c r="C10" t="s">
        <v>17</v>
      </c>
      <c r="E10">
        <f>SUM(E3:E9)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Summary</vt:lpstr>
      <vt:lpstr>CCA Tables</vt:lpstr>
      <vt:lpstr>Income</vt:lpstr>
      <vt:lpstr>Advertising</vt:lpstr>
      <vt:lpstr>Insurance</vt:lpstr>
      <vt:lpstr>Interest</vt:lpstr>
      <vt:lpstr>Office Expenses</vt:lpstr>
      <vt:lpstr>Professional Fees</vt:lpstr>
      <vt:lpstr>Management</vt:lpstr>
      <vt:lpstr>Repairs &amp; Maintenance</vt:lpstr>
      <vt:lpstr>Salaries &amp; Wages</vt:lpstr>
      <vt:lpstr>Property Taxes</vt:lpstr>
      <vt:lpstr>Travel Summary</vt:lpstr>
      <vt:lpstr>Utilities</vt:lpstr>
      <vt:lpstr>Motor Vehicle Expenses</vt:lpstr>
      <vt:lpstr>Other Expenses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Arun Raju</dc:creator>
  <cp:lastModifiedBy>Arun Raju</cp:lastModifiedBy>
  <cp:lastPrinted>2024-04-08T16:12:39Z</cp:lastPrinted>
  <dcterms:created xsi:type="dcterms:W3CDTF">2023-11-01T17:11:58Z</dcterms:created>
  <dcterms:modified xsi:type="dcterms:W3CDTF">2024-04-12T19:44:03Z</dcterms:modified>
</cp:coreProperties>
</file>