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5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trlProps/ctrlProp6.xml" ContentType="application/vnd.ms-excel.controlproperties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trlProps/ctrlProp7.xml" ContentType="application/vnd.ms-excel.controlproperties+xml"/>
  <Override PartName="/xl/ctrlProps/ctrlProp8.xml" ContentType="application/vnd.ms-excel.controlproperties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unr\Documents\Arun Raju\Business\Webby\web page updates\2024\"/>
    </mc:Choice>
  </mc:AlternateContent>
  <bookViews>
    <workbookView xWindow="0" yWindow="0" windowWidth="23370" windowHeight="10680"/>
  </bookViews>
  <sheets>
    <sheet name="Summary Contents" sheetId="31" r:id="rId1"/>
    <sheet name="Biases and Emotions" sheetId="5" r:id="rId2"/>
    <sheet name="Economic Indicators - Cycles" sheetId="3" r:id="rId3"/>
    <sheet name="Business Cycle and CME" sheetId="4" r:id="rId4"/>
    <sheet name="Monitary &amp; Fiscal Pcy + Taylor " sheetId="9" r:id="rId5"/>
    <sheet name="CME models" sheetId="10" r:id="rId6"/>
    <sheet name="emerging mkt debt" sheetId="11" r:id="rId7"/>
    <sheet name="SAA - TAA" sheetId="12" r:id="rId8"/>
    <sheet name="Options Strategies" sheetId="13" r:id="rId9"/>
    <sheet name="Options &quot;the Greeks&quot;" sheetId="14" r:id="rId10"/>
    <sheet name="SWAPS, Futures and Forwards" sheetId="15" r:id="rId11"/>
    <sheet name="VIX" sheetId="16" r:id="rId12"/>
    <sheet name="Fixed Income Valuation" sheetId="17" r:id="rId13"/>
    <sheet name="FI deeper dive" sheetId="18" r:id="rId14"/>
    <sheet name="Credit Default SWAPS" sheetId="19" r:id="rId15"/>
    <sheet name="Performance Valuation " sheetId="8" r:id="rId16"/>
    <sheet name="Benchmarks" sheetId="6" r:id="rId17"/>
    <sheet name="Currency FX and Hedging" sheetId="23" r:id="rId18"/>
    <sheet name="Trading and Rebalancing" sheetId="25" r:id="rId19"/>
    <sheet name="Bank Leverage" sheetId="27" r:id="rId20"/>
    <sheet name="Alternative Investments" sheetId="24" r:id="rId21"/>
    <sheet name="Life Insurance - Annuities" sheetId="21" r:id="rId22"/>
  </sheets>
  <externalReferences>
    <externalReference r:id="rId23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5" i="16" l="1"/>
  <c r="D14" i="16"/>
  <c r="I113" i="15" l="1"/>
  <c r="J71" i="15"/>
  <c r="C32" i="13"/>
  <c r="C24" i="9"/>
  <c r="F27" i="9"/>
  <c r="B23" i="10" l="1"/>
  <c r="C142" i="15" l="1"/>
  <c r="C146" i="15"/>
  <c r="I114" i="15"/>
  <c r="C143" i="15"/>
  <c r="C141" i="15"/>
  <c r="C105" i="15"/>
  <c r="C103" i="15"/>
  <c r="C97" i="15"/>
  <c r="C95" i="15"/>
  <c r="I86" i="15"/>
  <c r="I87" i="15"/>
  <c r="C98" i="15" s="1"/>
  <c r="I85" i="15"/>
  <c r="I83" i="15"/>
  <c r="I84" i="15"/>
  <c r="I14" i="15"/>
  <c r="M14" i="15" s="1"/>
  <c r="K69" i="15"/>
  <c r="K66" i="15"/>
  <c r="K67" i="15" s="1"/>
  <c r="J69" i="15"/>
  <c r="J66" i="15"/>
  <c r="J67" i="15" s="1"/>
  <c r="C62" i="15"/>
  <c r="C65" i="15" s="1"/>
  <c r="C64" i="15"/>
  <c r="I43" i="15"/>
  <c r="I41" i="15"/>
  <c r="C113" i="15"/>
  <c r="B117" i="15" s="1"/>
  <c r="C47" i="15"/>
  <c r="C43" i="15"/>
  <c r="C45" i="15"/>
  <c r="C41" i="15"/>
  <c r="I17" i="15"/>
  <c r="I20" i="15"/>
  <c r="I19" i="15"/>
  <c r="I18" i="15"/>
  <c r="I16" i="15"/>
  <c r="I15" i="15"/>
  <c r="C28" i="15"/>
  <c r="C26" i="15"/>
  <c r="C24" i="15"/>
  <c r="C22" i="15"/>
  <c r="C147" i="15" l="1"/>
  <c r="C99" i="15"/>
  <c r="C106" i="15"/>
  <c r="C107" i="15" s="1"/>
  <c r="I103" i="15"/>
  <c r="I93" i="15"/>
  <c r="K71" i="15"/>
  <c r="I95" i="15"/>
  <c r="I101" i="15"/>
  <c r="I45" i="15"/>
  <c r="J72" i="15"/>
  <c r="I22" i="15"/>
  <c r="F22" i="15" s="1"/>
  <c r="C67" i="15"/>
  <c r="I24" i="15"/>
  <c r="F24" i="15" s="1"/>
  <c r="I28" i="15"/>
  <c r="F28" i="15" s="1"/>
  <c r="I26" i="15"/>
  <c r="F26" i="15" s="1"/>
  <c r="F53" i="12"/>
  <c r="I53" i="12" s="1"/>
  <c r="F54" i="12"/>
  <c r="G54" i="12" s="1"/>
  <c r="H54" i="12" s="1"/>
  <c r="F52" i="12"/>
  <c r="I52" i="12" s="1"/>
  <c r="E55" i="12"/>
  <c r="D55" i="12"/>
  <c r="C55" i="12"/>
  <c r="D66" i="25"/>
  <c r="D62" i="25"/>
  <c r="D63" i="25"/>
  <c r="D64" i="25"/>
  <c r="D61" i="25"/>
  <c r="C66" i="25"/>
  <c r="C63" i="25"/>
  <c r="C62" i="25"/>
  <c r="C61" i="25"/>
  <c r="C64" i="25"/>
  <c r="C55" i="25"/>
  <c r="C56" i="25"/>
  <c r="C25" i="25"/>
  <c r="C27" i="25"/>
  <c r="C24" i="25" s="1"/>
  <c r="C22" i="25" s="1"/>
  <c r="D37" i="23"/>
  <c r="E37" i="23"/>
  <c r="D38" i="23"/>
  <c r="E38" i="23"/>
  <c r="C38" i="23"/>
  <c r="C37" i="23"/>
  <c r="C39" i="23" s="1"/>
  <c r="K72" i="15" l="1"/>
  <c r="G52" i="12"/>
  <c r="H52" i="12" s="1"/>
  <c r="G53" i="12"/>
  <c r="H53" i="12" s="1"/>
  <c r="C53" i="25"/>
  <c r="D39" i="23"/>
  <c r="E39" i="23"/>
  <c r="C18" i="23"/>
  <c r="C20" i="23" s="1"/>
  <c r="D18" i="23"/>
  <c r="D19" i="23"/>
  <c r="C19" i="23"/>
  <c r="C21" i="23" s="1"/>
  <c r="D9" i="23"/>
  <c r="C224" i="15"/>
  <c r="C216" i="15"/>
  <c r="C222" i="15" s="1"/>
  <c r="C200" i="15"/>
  <c r="C199" i="15"/>
  <c r="C132" i="10"/>
  <c r="C133" i="10"/>
  <c r="D91" i="10"/>
  <c r="C101" i="10"/>
  <c r="C114" i="10" s="1"/>
  <c r="C135" i="10" l="1"/>
  <c r="C117" i="10"/>
  <c r="D114" i="10"/>
  <c r="D117" i="10" s="1"/>
  <c r="C80" i="10" s="1"/>
  <c r="C86" i="10" s="1"/>
  <c r="C202" i="15"/>
  <c r="C226" i="15"/>
  <c r="C228" i="15" s="1"/>
  <c r="D69" i="10"/>
  <c r="C69" i="10"/>
  <c r="C66" i="10"/>
  <c r="D66" i="10"/>
  <c r="B42" i="10"/>
  <c r="B25" i="10"/>
  <c r="B27" i="10"/>
  <c r="C34" i="10"/>
  <c r="C96" i="13"/>
  <c r="C97" i="13"/>
  <c r="C98" i="13"/>
  <c r="C99" i="13"/>
  <c r="C100" i="13"/>
  <c r="C101" i="13"/>
  <c r="C102" i="13"/>
  <c r="C103" i="13"/>
  <c r="C104" i="13"/>
  <c r="C106" i="13"/>
  <c r="C107" i="13"/>
  <c r="C108" i="13"/>
  <c r="C109" i="13"/>
  <c r="C105" i="13"/>
  <c r="C88" i="13"/>
  <c r="C90" i="13"/>
  <c r="C89" i="13"/>
  <c r="C61" i="13"/>
  <c r="C62" i="13"/>
  <c r="C63" i="13"/>
  <c r="C64" i="13"/>
  <c r="C65" i="13"/>
  <c r="C66" i="13"/>
  <c r="C67" i="13"/>
  <c r="C68" i="13"/>
  <c r="C69" i="13"/>
  <c r="C71" i="13"/>
  <c r="C72" i="13"/>
  <c r="C73" i="13"/>
  <c r="C74" i="13"/>
  <c r="C70" i="13"/>
  <c r="C55" i="13"/>
  <c r="C33" i="13"/>
  <c r="C34" i="13"/>
  <c r="C35" i="13"/>
  <c r="C36" i="13"/>
  <c r="C37" i="13"/>
  <c r="C38" i="13"/>
  <c r="C39" i="13"/>
  <c r="C40" i="13"/>
  <c r="C41" i="13"/>
  <c r="C42" i="13"/>
  <c r="C43" i="13"/>
  <c r="C44" i="13"/>
  <c r="C45" i="13"/>
  <c r="C26" i="13"/>
  <c r="M221" i="13"/>
  <c r="M222" i="13"/>
  <c r="M223" i="13"/>
  <c r="M224" i="13"/>
  <c r="M225" i="13"/>
  <c r="M226" i="13"/>
  <c r="M227" i="13"/>
  <c r="M228" i="13"/>
  <c r="M229" i="13"/>
  <c r="M230" i="13"/>
  <c r="M231" i="13"/>
  <c r="M232" i="13"/>
  <c r="M233" i="13"/>
  <c r="M220" i="13"/>
  <c r="M213" i="13"/>
  <c r="C221" i="13"/>
  <c r="C222" i="13"/>
  <c r="C223" i="13"/>
  <c r="C224" i="13"/>
  <c r="C225" i="13"/>
  <c r="C226" i="13"/>
  <c r="C227" i="13"/>
  <c r="C228" i="13"/>
  <c r="C229" i="13"/>
  <c r="C230" i="13"/>
  <c r="C231" i="13"/>
  <c r="C232" i="13"/>
  <c r="C233" i="13"/>
  <c r="C220" i="13"/>
  <c r="C213" i="13"/>
  <c r="M148" i="13"/>
  <c r="M147" i="13"/>
  <c r="C148" i="13"/>
  <c r="C147" i="13"/>
  <c r="M136" i="13"/>
  <c r="M137" i="13"/>
  <c r="M138" i="13"/>
  <c r="M139" i="13"/>
  <c r="M140" i="13"/>
  <c r="M141" i="13"/>
  <c r="M142" i="13"/>
  <c r="M143" i="13"/>
  <c r="M144" i="13"/>
  <c r="M145" i="13"/>
  <c r="M146" i="13"/>
  <c r="M135" i="13"/>
  <c r="C139" i="13"/>
  <c r="C142" i="13"/>
  <c r="C129" i="13"/>
  <c r="C136" i="13"/>
  <c r="C137" i="13"/>
  <c r="C138" i="13"/>
  <c r="C140" i="13"/>
  <c r="C141" i="13"/>
  <c r="C143" i="13"/>
  <c r="C144" i="13"/>
  <c r="C145" i="13"/>
  <c r="C146" i="13"/>
  <c r="C135" i="13"/>
  <c r="C127" i="13"/>
  <c r="J59" i="17"/>
  <c r="C65" i="17"/>
  <c r="C64" i="17"/>
  <c r="C63" i="17"/>
  <c r="C62" i="17"/>
  <c r="B4" i="10"/>
  <c r="J107" i="8"/>
  <c r="I107" i="8"/>
  <c r="N107" i="8"/>
  <c r="G117" i="8"/>
  <c r="E117" i="8"/>
  <c r="I117" i="8" s="1"/>
  <c r="D117" i="8"/>
  <c r="H117" i="8" s="1"/>
  <c r="C117" i="8"/>
  <c r="M116" i="8"/>
  <c r="L116" i="8"/>
  <c r="K116" i="8"/>
  <c r="F116" i="8"/>
  <c r="J116" i="8" s="1"/>
  <c r="M115" i="8"/>
  <c r="L115" i="8"/>
  <c r="K115" i="8"/>
  <c r="F115" i="8"/>
  <c r="J115" i="8" s="1"/>
  <c r="N115" i="8" s="1"/>
  <c r="M114" i="8"/>
  <c r="L114" i="8"/>
  <c r="L117" i="8" s="1"/>
  <c r="K114" i="8"/>
  <c r="F114" i="8"/>
  <c r="F117" i="8" s="1"/>
  <c r="E107" i="8"/>
  <c r="D107" i="8"/>
  <c r="H107" i="8" s="1"/>
  <c r="C107" i="8"/>
  <c r="G107" i="8" s="1"/>
  <c r="M106" i="8"/>
  <c r="L106" i="8"/>
  <c r="K106" i="8"/>
  <c r="F106" i="8"/>
  <c r="J106" i="8" s="1"/>
  <c r="N106" i="8" s="1"/>
  <c r="M105" i="8"/>
  <c r="L105" i="8"/>
  <c r="K105" i="8"/>
  <c r="F105" i="8"/>
  <c r="M104" i="8"/>
  <c r="L104" i="8"/>
  <c r="K104" i="8"/>
  <c r="J104" i="8"/>
  <c r="N104" i="8" s="1"/>
  <c r="F104" i="8"/>
  <c r="E97" i="8"/>
  <c r="I97" i="8" s="1"/>
  <c r="D97" i="8"/>
  <c r="H97" i="8" s="1"/>
  <c r="C97" i="8"/>
  <c r="G97" i="8" s="1"/>
  <c r="M96" i="8"/>
  <c r="L96" i="8"/>
  <c r="K96" i="8"/>
  <c r="F96" i="8"/>
  <c r="M95" i="8"/>
  <c r="L95" i="8"/>
  <c r="K95" i="8"/>
  <c r="F95" i="8"/>
  <c r="M94" i="8"/>
  <c r="L94" i="8"/>
  <c r="K94" i="8"/>
  <c r="K97" i="8" s="1"/>
  <c r="F94" i="8"/>
  <c r="N86" i="8"/>
  <c r="N85" i="8"/>
  <c r="M87" i="8"/>
  <c r="L87" i="8"/>
  <c r="K87" i="8"/>
  <c r="C87" i="8"/>
  <c r="G87" i="8" s="1"/>
  <c r="D87" i="8"/>
  <c r="H87" i="8" s="1"/>
  <c r="N84" i="8"/>
  <c r="J84" i="8"/>
  <c r="I87" i="8"/>
  <c r="K85" i="8"/>
  <c r="L85" i="8"/>
  <c r="M85" i="8"/>
  <c r="K86" i="8"/>
  <c r="L86" i="8"/>
  <c r="M86" i="8"/>
  <c r="L84" i="8"/>
  <c r="M84" i="8"/>
  <c r="K84" i="8"/>
  <c r="F85" i="8"/>
  <c r="J85" i="8" s="1"/>
  <c r="F86" i="8"/>
  <c r="J86" i="8" s="1"/>
  <c r="F84" i="8"/>
  <c r="E87" i="8"/>
  <c r="B11" i="19"/>
  <c r="B16" i="19" s="1"/>
  <c r="C71" i="10" l="1"/>
  <c r="C72" i="10" s="1"/>
  <c r="D71" i="10"/>
  <c r="D72" i="10" s="1"/>
  <c r="B21" i="10"/>
  <c r="M117" i="8"/>
  <c r="K117" i="8"/>
  <c r="M107" i="8"/>
  <c r="L107" i="8"/>
  <c r="K107" i="8"/>
  <c r="J117" i="8"/>
  <c r="F107" i="8"/>
  <c r="J105" i="8"/>
  <c r="N105" i="8" s="1"/>
  <c r="J114" i="8"/>
  <c r="N114" i="8" s="1"/>
  <c r="N116" i="8"/>
  <c r="M97" i="8"/>
  <c r="L97" i="8"/>
  <c r="F97" i="8"/>
  <c r="J97" i="8" s="1"/>
  <c r="J96" i="8"/>
  <c r="N96" i="8" s="1"/>
  <c r="J94" i="8"/>
  <c r="N94" i="8" s="1"/>
  <c r="J95" i="8"/>
  <c r="N95" i="8" s="1"/>
  <c r="N87" i="8"/>
  <c r="J87" i="8"/>
  <c r="F87" i="8"/>
  <c r="B87" i="17"/>
  <c r="B90" i="17" s="1"/>
  <c r="B88" i="17"/>
  <c r="J58" i="17"/>
  <c r="B97" i="17"/>
  <c r="F48" i="17"/>
  <c r="F47" i="17"/>
  <c r="F46" i="17"/>
  <c r="F45" i="17"/>
  <c r="F44" i="17"/>
  <c r="B38" i="17"/>
  <c r="B37" i="17"/>
  <c r="M211" i="13"/>
  <c r="M210" i="13"/>
  <c r="C27" i="13"/>
  <c r="N117" i="8" l="1"/>
  <c r="N97" i="8"/>
  <c r="E45" i="17"/>
  <c r="F50" i="17"/>
  <c r="M209" i="13"/>
  <c r="C209" i="13"/>
  <c r="C211" i="13"/>
  <c r="C210" i="13"/>
  <c r="C173" i="13"/>
  <c r="C172" i="13"/>
  <c r="C171" i="13"/>
  <c r="M171" i="13"/>
  <c r="M173" i="13"/>
  <c r="M172" i="13"/>
  <c r="M128" i="13"/>
  <c r="N127" i="13"/>
  <c r="M127" i="13"/>
  <c r="D127" i="13"/>
  <c r="C53" i="13"/>
  <c r="C25" i="13"/>
  <c r="D12" i="13"/>
  <c r="D11" i="13"/>
  <c r="D8" i="13"/>
  <c r="D10" i="13"/>
  <c r="D9" i="13"/>
  <c r="C189" i="13" l="1"/>
  <c r="C190" i="13"/>
  <c r="C183" i="13"/>
  <c r="C187" i="13"/>
  <c r="C175" i="13"/>
  <c r="C182" i="13"/>
  <c r="C191" i="13"/>
  <c r="C181" i="13"/>
  <c r="C184" i="13"/>
  <c r="C192" i="13"/>
  <c r="C185" i="13"/>
  <c r="C193" i="13"/>
  <c r="C186" i="13"/>
  <c r="C194" i="13"/>
  <c r="C188" i="13"/>
  <c r="M185" i="13"/>
  <c r="M186" i="13"/>
  <c r="M187" i="13"/>
  <c r="M188" i="13"/>
  <c r="M175" i="13"/>
  <c r="M189" i="13"/>
  <c r="M190" i="13"/>
  <c r="M181" i="13"/>
  <c r="M182" i="13"/>
  <c r="M183" i="13"/>
  <c r="M191" i="13"/>
  <c r="M184" i="13"/>
  <c r="M192" i="13"/>
  <c r="M193" i="13"/>
  <c r="M194" i="13"/>
  <c r="E12" i="13"/>
  <c r="E11" i="13"/>
  <c r="E10" i="13"/>
  <c r="E9" i="13"/>
  <c r="E8" i="13"/>
  <c r="C10" i="25"/>
  <c r="C8" i="25" s="1"/>
  <c r="D74" i="8"/>
  <c r="C74" i="8"/>
  <c r="L72" i="8"/>
  <c r="K72" i="8"/>
  <c r="H72" i="8"/>
  <c r="G72" i="8"/>
  <c r="L71" i="8"/>
  <c r="K71" i="8"/>
  <c r="H71" i="8"/>
  <c r="G71" i="8"/>
  <c r="L70" i="8"/>
  <c r="K70" i="8"/>
  <c r="H70" i="8"/>
  <c r="G70" i="8"/>
  <c r="L69" i="8"/>
  <c r="K69" i="8"/>
  <c r="H69" i="8"/>
  <c r="G69" i="8"/>
  <c r="L68" i="8"/>
  <c r="K68" i="8"/>
  <c r="H68" i="8"/>
  <c r="G68" i="8"/>
  <c r="L67" i="8"/>
  <c r="K67" i="8"/>
  <c r="H67" i="8"/>
  <c r="G67" i="8"/>
  <c r="L66" i="8"/>
  <c r="K66" i="8"/>
  <c r="H66" i="8"/>
  <c r="G66" i="8"/>
  <c r="L65" i="8"/>
  <c r="K65" i="8"/>
  <c r="H65" i="8"/>
  <c r="G65" i="8"/>
  <c r="L64" i="8"/>
  <c r="K64" i="8"/>
  <c r="H64" i="8"/>
  <c r="G64" i="8"/>
  <c r="L63" i="8"/>
  <c r="K63" i="8"/>
  <c r="H63" i="8"/>
  <c r="G63" i="8"/>
  <c r="L62" i="8"/>
  <c r="K62" i="8"/>
  <c r="H62" i="8"/>
  <c r="G62" i="8"/>
  <c r="K21" i="8"/>
  <c r="J21" i="8"/>
  <c r="L22" i="8"/>
  <c r="L23" i="8"/>
  <c r="L24" i="8"/>
  <c r="L25" i="8"/>
  <c r="L26" i="8"/>
  <c r="L27" i="8"/>
  <c r="L28" i="8"/>
  <c r="L29" i="8"/>
  <c r="L30" i="8"/>
  <c r="L31" i="8"/>
  <c r="L21" i="8"/>
  <c r="K22" i="8"/>
  <c r="K23" i="8"/>
  <c r="K24" i="8"/>
  <c r="K25" i="8"/>
  <c r="K26" i="8"/>
  <c r="K27" i="8"/>
  <c r="K28" i="8"/>
  <c r="K29" i="8"/>
  <c r="K30" i="8"/>
  <c r="K31" i="8"/>
  <c r="J22" i="8"/>
  <c r="J23" i="8"/>
  <c r="J24" i="8"/>
  <c r="J25" i="8"/>
  <c r="J26" i="8"/>
  <c r="J27" i="8"/>
  <c r="J28" i="8"/>
  <c r="J29" i="8"/>
  <c r="J30" i="8"/>
  <c r="J31" i="8"/>
  <c r="H22" i="8"/>
  <c r="H23" i="8"/>
  <c r="H24" i="8"/>
  <c r="H25" i="8"/>
  <c r="H26" i="8"/>
  <c r="H27" i="8"/>
  <c r="H28" i="8"/>
  <c r="H29" i="8"/>
  <c r="H30" i="8"/>
  <c r="H31" i="8"/>
  <c r="H21" i="8"/>
  <c r="G22" i="8"/>
  <c r="G23" i="8"/>
  <c r="G24" i="8"/>
  <c r="G25" i="8"/>
  <c r="G26" i="8"/>
  <c r="G27" i="8"/>
  <c r="G28" i="8"/>
  <c r="G29" i="8"/>
  <c r="G30" i="8"/>
  <c r="G31" i="8"/>
  <c r="G21" i="8"/>
  <c r="D33" i="8"/>
  <c r="C33" i="8"/>
  <c r="M25" i="8" l="1"/>
  <c r="M21" i="8"/>
  <c r="M27" i="8"/>
  <c r="L33" i="8"/>
  <c r="M24" i="8"/>
  <c r="M29" i="8"/>
  <c r="M31" i="8"/>
  <c r="M23" i="8"/>
  <c r="M30" i="8"/>
  <c r="M22" i="8"/>
  <c r="G74" i="8"/>
  <c r="M26" i="8"/>
  <c r="M28" i="8"/>
  <c r="H74" i="8"/>
  <c r="K33" i="8"/>
  <c r="K74" i="8"/>
  <c r="L74" i="8"/>
  <c r="J33" i="8"/>
  <c r="G33" i="8"/>
  <c r="H33" i="8"/>
  <c r="M33" i="8" l="1"/>
  <c r="J66" i="8"/>
  <c r="M66" i="8" s="1"/>
  <c r="J67" i="8"/>
  <c r="M67" i="8" s="1"/>
  <c r="J68" i="8"/>
  <c r="M68" i="8" s="1"/>
  <c r="J69" i="8"/>
  <c r="M69" i="8" s="1"/>
  <c r="J70" i="8"/>
  <c r="M70" i="8" s="1"/>
  <c r="J71" i="8"/>
  <c r="M71" i="8" s="1"/>
  <c r="J72" i="8"/>
  <c r="M72" i="8" s="1"/>
  <c r="J62" i="8"/>
  <c r="J63" i="8"/>
  <c r="M63" i="8" s="1"/>
  <c r="J64" i="8"/>
  <c r="M64" i="8" s="1"/>
  <c r="J65" i="8"/>
  <c r="M65" i="8" s="1"/>
  <c r="M62" i="8" l="1"/>
  <c r="J74" i="8"/>
  <c r="M74" i="8" s="1"/>
  <c r="C6" i="8" l="1"/>
  <c r="C5" i="8"/>
  <c r="C41" i="6"/>
  <c r="C40" i="6"/>
  <c r="C36" i="6" s="1"/>
  <c r="C4" i="8" l="1"/>
</calcChain>
</file>

<file path=xl/sharedStrings.xml><?xml version="1.0" encoding="utf-8"?>
<sst xmlns="http://schemas.openxmlformats.org/spreadsheetml/2006/main" count="1243" uniqueCount="981">
  <si>
    <t>VIX</t>
  </si>
  <si>
    <t>Fixed Income</t>
  </si>
  <si>
    <t>Derivatives</t>
  </si>
  <si>
    <t>Cognitive</t>
  </si>
  <si>
    <t>Cognitive Errors -&gt; Belief Perseverance:</t>
  </si>
  <si>
    <t>Conservatism Bias: rationally form initial view; fail to change that view as new info comes; Usually unwilling or slow to update view; hold investment too long</t>
  </si>
  <si>
    <t>Confirmation Bias: look for new information or distort new info to support existing view (selection bias).</t>
  </si>
  <si>
    <t>Representative Bias: New info is evaluated based on past classification or experience w/o thorough analysis (value stock compared to other value stocks but might need re-classification).</t>
  </si>
  <si>
    <t>Illusion of Control Bias: Market Participant think they can control or affect outcomes when they cannot.</t>
  </si>
  <si>
    <t>Hindsight Bias: Selective memory of past events, actions or what was knowable in the past. (remember correct views but forget errors).</t>
  </si>
  <si>
    <t>Cognitive Errors -&gt; Information Processing Biases</t>
  </si>
  <si>
    <r>
      <t xml:space="preserve">Anchoring &amp; Adjustment Bias: Changes are made in relation to initial view; </t>
    </r>
    <r>
      <rPr>
        <sz val="11"/>
        <color theme="1"/>
        <rFont val="Symbol"/>
        <family val="1"/>
        <charset val="2"/>
      </rPr>
      <t>\</t>
    </r>
    <r>
      <rPr>
        <sz val="11"/>
        <color theme="1"/>
        <rFont val="Calibri"/>
        <family val="2"/>
        <scheme val="minor"/>
      </rPr>
      <t>inadequate (trial &amp; error).</t>
    </r>
  </si>
  <si>
    <t>Mental Accounting Bias: money is treated differently depending on how it is categorized; (wages vs bonus)</t>
  </si>
  <si>
    <t>Framing Bias: decisions are affected by the way in which the question or data is “framed”. (eg. Compare a GBP20 stock to its GBP15 cost vs its GBP25 previous close).</t>
  </si>
  <si>
    <t>Availability Bias: undue emphasis on the information that is readily available;</t>
  </si>
  <si>
    <t xml:space="preserve"> -&gt; arise primarily from statistical/ informational/reasoning deficiencies; Can have emotional element.</t>
  </si>
  <si>
    <t>Emotional Biases</t>
  </si>
  <si>
    <t>-&gt; not related to concious thought; stem from feelings or impulses</t>
  </si>
  <si>
    <t>Loss aversion Bias: feeling more pain from a loss than pleasure from an equal gain; hold losers too long and sell winners too quickly; trade too much for small gains (high transaction costs).</t>
  </si>
  <si>
    <t>Overconfidence Biases: Market Participants overestimate their own intuitive ability or reasoning. (take credit when right, blame others when not).</t>
  </si>
  <si>
    <t>Self-control bias: lack self-discipline &amp; favor immediate gratification over LT goals; take excessive risk to compensate for insufficient saving.</t>
  </si>
  <si>
    <t>Status-quo bias: comfort with existing situation leads to unwillingness to make changes.</t>
  </si>
  <si>
    <t>Endowment Bias: asset is felt to be more special &amp; more valuable simply because it is already owned (minimum sale price $25 vs maximum purchase price is $23)</t>
  </si>
  <si>
    <t>Regret Aversion Bias: do nothing out of excess fear that actions could be wrong. (Attach undue weight to actions on “commission” vs acts of “omission”)</t>
  </si>
  <si>
    <t>Notes:</t>
  </si>
  <si>
    <t>Leading Indicators</t>
  </si>
  <si>
    <t>Lagging indicators</t>
  </si>
  <si>
    <t>coincadent indicators</t>
  </si>
  <si>
    <t>Economic Indicators:</t>
  </si>
  <si>
    <t>Easy to interpret, widely available, inuitive</t>
  </si>
  <si>
    <t>however</t>
  </si>
  <si>
    <t xml:space="preserve">results inconsistant; ex-post vs ex-ante; outliers, </t>
  </si>
  <si>
    <t>housing upstarts</t>
  </si>
  <si>
    <t>jobless claims; average hours worked</t>
  </si>
  <si>
    <t>inventory levels; purchase manager index (PMI)</t>
  </si>
  <si>
    <t>durable goods orders</t>
  </si>
  <si>
    <t>yield curve (spread between 2 year and 10 year duration); '-&gt; inverted means recession coming soon</t>
  </si>
  <si>
    <t>corporate profits</t>
  </si>
  <si>
    <t>labor cost per unit of output</t>
  </si>
  <si>
    <t>unemployment rate</t>
  </si>
  <si>
    <t>consumer confidence index; retail sales</t>
  </si>
  <si>
    <t>average prime rate charged by banks</t>
  </si>
  <si>
    <t>change in CPI for services</t>
  </si>
  <si>
    <t>US Bureau</t>
  </si>
  <si>
    <t>https://www.conference-board.org/data/bci/index.cfm?id=2160</t>
  </si>
  <si>
    <t>moving average cross-over*** (careful now; could be too late and cause "correction")</t>
  </si>
  <si>
    <t>GDP</t>
  </si>
  <si>
    <t>AVG manufacturing hours worked</t>
  </si>
  <si>
    <t>current payroll</t>
  </si>
  <si>
    <t>Initial Recovery</t>
  </si>
  <si>
    <t>Early Expansion</t>
  </si>
  <si>
    <t>Late Expansion</t>
  </si>
  <si>
    <t>Slow-Down</t>
  </si>
  <si>
    <t>Recession</t>
  </si>
  <si>
    <t>confidence rising;</t>
  </si>
  <si>
    <t>falling inflation</t>
  </si>
  <si>
    <t>large output gap (actual output above "full capacity" output) to meet high demand</t>
  </si>
  <si>
    <t>Govt Stimulation(low/falling interest rates; and govt budget defecits)</t>
  </si>
  <si>
    <t>bond yields bottoming out, rising stock prices</t>
  </si>
  <si>
    <t xml:space="preserve"> a few months; </t>
  </si>
  <si>
    <t>rising S-T interest rates</t>
  </si>
  <si>
    <t xml:space="preserve"> output gap narrowing</t>
  </si>
  <si>
    <t>flat/rising bond yields; rising stock prices</t>
  </si>
  <si>
    <t>a year to several years;</t>
  </si>
  <si>
    <t>↑increase confidence</t>
  </si>
  <si>
    <t>↑ increase  inventories</t>
  </si>
  <si>
    <t xml:space="preserve"> confidence &amp; employment is highrising/peaking stock prices;</t>
  </si>
  <si>
    <t>; output gap eliminated;</t>
  </si>
  <si>
    <t xml:space="preserve"> inflation increases; </t>
  </si>
  <si>
    <t>central bank limits growth of money supply;</t>
  </si>
  <si>
    <t xml:space="preserve"> rising S-T interest rates; rising bond yields; </t>
  </si>
  <si>
    <t xml:space="preserve"> a few months to a year; </t>
  </si>
  <si>
    <t>dec ↓inventory levels;</t>
  </si>
  <si>
    <t xml:space="preserve"> S-T interest rates @ peak; </t>
  </si>
  <si>
    <t>bond yields have peaked -&gt; start falling (rising bond prices);</t>
  </si>
  <si>
    <t xml:space="preserve"> Yield curve may invert;</t>
  </si>
  <si>
    <t xml:space="preserve"> falling stock prices;</t>
  </si>
  <si>
    <t>Monetary Policy:</t>
  </si>
  <si>
    <t xml:space="preserve">Central Banks use MP as counter-cyclical force to optimize economy’s performance;  </t>
  </si>
  <si>
    <t>Balance price stability against economic growth. Goal -&gt; keep growth @ or near long-run; faster = inflation</t>
  </si>
  <si>
    <t xml:space="preserve">Spur growth -&gt; reduce S-T interest rates -&gt; greater consumer spending, business spending -&gt; higher stock prices &amp; bond prices; </t>
  </si>
  <si>
    <t>lower interest rates can lower domestic currency -&gt; inc ↑ exports;</t>
  </si>
  <si>
    <t>Fiscal Policy</t>
  </si>
  <si>
    <t>Govt. stimulate economy -&gt; loose fiscal policy -&gt; decrease tax or increase spending (inc ↑deficit); ∆’s by natural cycle have no impact;</t>
  </si>
  <si>
    <t xml:space="preserve">Not dependent on deficit alone -&gt; only ∆’s in deficit caused by Govt intervention; </t>
  </si>
  <si>
    <t xml:space="preserve">FP &amp; MP expansive -&gt; YC sharply upward sloping (S-T rates lower than L-T rates); economy likely to expand in future; </t>
  </si>
  <si>
    <t>FP &amp; MP restrictive -&gt; YC downward sloping (inverted); economy likely to contract in future</t>
  </si>
  <si>
    <t xml:space="preserve">MP restrictive and FP simulative -&gt; YC flat; </t>
  </si>
  <si>
    <t>MP simulative and FP restrictive -&gt; moderately steep;</t>
  </si>
  <si>
    <t>FP &amp; MP may reinforce or contradict each other; contradiction -&gt; YC likely flat</t>
  </si>
  <si>
    <r>
      <t xml:space="preserve">*Taylor Rule: </t>
    </r>
    <r>
      <rPr>
        <sz val="11"/>
        <color theme="1"/>
        <rFont val="Calibri"/>
        <family val="2"/>
        <scheme val="minor"/>
      </rPr>
      <t xml:space="preserve">Neutral rate is what most central banks strive to achieve; inflation too high -&gt; inc ↑short term rates; </t>
    </r>
  </si>
  <si>
    <t>economic growth too low -&gt; dec ↓ interest rates;</t>
  </si>
  <si>
    <t>Target Rate</t>
  </si>
  <si>
    <t xml:space="preserve">Target Rate = </t>
  </si>
  <si>
    <t>R Neutral Rate</t>
  </si>
  <si>
    <t>i expected</t>
  </si>
  <si>
    <t>i target</t>
  </si>
  <si>
    <t>GDP expected</t>
  </si>
  <si>
    <t>GDP trend</t>
  </si>
  <si>
    <t xml:space="preserve">Current Account = Net Exports; </t>
  </si>
  <si>
    <t>Capital Account = net investment flows</t>
  </si>
  <si>
    <t xml:space="preserve">diffusion index -&gt; </t>
  </si>
  <si>
    <t>observe number of indicators going up versus going down</t>
  </si>
  <si>
    <t>Grinold-Kroner Model</t>
  </si>
  <si>
    <r>
      <t>* %</t>
    </r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>S is a –ive for share repurchase (reduction outstanding) which creates a “+” for double -ive</t>
    </r>
  </si>
  <si>
    <r>
      <t xml:space="preserve">The </t>
    </r>
    <r>
      <rPr>
        <b/>
        <sz val="12"/>
        <color theme="1"/>
        <rFont val="Times New Roman"/>
        <family val="1"/>
      </rPr>
      <t>expected cash flow return</t>
    </r>
    <r>
      <rPr>
        <sz val="12"/>
        <color theme="1"/>
        <rFont val="Times New Roman"/>
        <family val="1"/>
      </rPr>
      <t xml:space="preserve"> (income return):</t>
    </r>
  </si>
  <si>
    <t>D/P – %ΔS = income return</t>
  </si>
  <si>
    <r>
      <t xml:space="preserve">The </t>
    </r>
    <r>
      <rPr>
        <b/>
        <sz val="12"/>
        <color theme="1"/>
        <rFont val="Times New Roman"/>
        <family val="1"/>
      </rPr>
      <t>expected nominal earnings growth</t>
    </r>
    <r>
      <rPr>
        <sz val="12"/>
        <color theme="1"/>
        <rFont val="Times New Roman"/>
        <family val="1"/>
      </rPr>
      <t xml:space="preserve"> is the real growth in earnings plus expected inflation: </t>
    </r>
  </si>
  <si>
    <t>expected nominal earnings growth return = %ΔE</t>
  </si>
  <si>
    <r>
      <t xml:space="preserve">The </t>
    </r>
    <r>
      <rPr>
        <b/>
        <sz val="12"/>
        <color theme="1"/>
        <rFont val="Times New Roman"/>
        <family val="1"/>
      </rPr>
      <t>expected repricing return</t>
    </r>
    <r>
      <rPr>
        <sz val="12"/>
        <color theme="1"/>
        <rFont val="Times New Roman"/>
        <family val="1"/>
      </rPr>
      <t xml:space="preserve"> is captured by the expected change in the P/E ratio: </t>
    </r>
  </si>
  <si>
    <t>expected repricing return = %ΔP/E</t>
  </si>
  <si>
    <t>Singer-Terhaar Model</t>
  </si>
  <si>
    <t>like a build up model over CAPM</t>
  </si>
  <si>
    <r>
      <t>R</t>
    </r>
    <r>
      <rPr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= R</t>
    </r>
    <r>
      <rPr>
        <vertAlign val="subscript"/>
        <sz val="11"/>
        <color theme="1"/>
        <rFont val="Calibri"/>
        <family val="2"/>
        <scheme val="minor"/>
      </rPr>
      <t>f</t>
    </r>
    <r>
      <rPr>
        <sz val="11"/>
        <color theme="1"/>
        <rFont val="Calibri"/>
        <family val="2"/>
        <scheme val="minor"/>
      </rPr>
      <t xml:space="preserve"> + β</t>
    </r>
    <r>
      <rPr>
        <vertAlign val="subscript"/>
        <sz val="11"/>
        <color theme="1"/>
        <rFont val="Calibri"/>
        <family val="2"/>
        <scheme val="minor"/>
      </rPr>
      <t>i,M</t>
    </r>
    <r>
      <rPr>
        <sz val="11"/>
        <color theme="1"/>
        <rFont val="Calibri"/>
        <family val="2"/>
        <scheme val="minor"/>
      </rPr>
      <t xml:space="preserve"> (R</t>
    </r>
    <r>
      <rPr>
        <vertAlign val="subscript"/>
        <sz val="11"/>
        <color theme="1"/>
        <rFont val="Calibri"/>
        <family val="2"/>
        <scheme val="minor"/>
      </rPr>
      <t xml:space="preserve">M </t>
    </r>
    <r>
      <rPr>
        <sz val="11"/>
        <color theme="1"/>
        <rFont val="Calibri"/>
        <family val="2"/>
        <scheme val="minor"/>
      </rPr>
      <t>– R</t>
    </r>
    <r>
      <rPr>
        <vertAlign val="subscript"/>
        <sz val="11"/>
        <color theme="1"/>
        <rFont val="Calibri"/>
        <family val="2"/>
        <scheme val="minor"/>
      </rPr>
      <t>f</t>
    </r>
    <r>
      <rPr>
        <sz val="11"/>
        <color theme="1"/>
        <rFont val="Calibri"/>
        <family val="2"/>
        <scheme val="minor"/>
      </rPr>
      <t>), or alternatively RP</t>
    </r>
    <r>
      <rPr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= β</t>
    </r>
    <r>
      <rPr>
        <vertAlign val="subscript"/>
        <sz val="11"/>
        <color theme="1"/>
        <rFont val="Calibri"/>
        <family val="2"/>
        <scheme val="minor"/>
      </rPr>
      <t>i,M</t>
    </r>
    <r>
      <rPr>
        <sz val="11"/>
        <color theme="1"/>
        <rFont val="Calibri"/>
        <family val="2"/>
        <scheme val="minor"/>
      </rPr>
      <t xml:space="preserve"> × RP</t>
    </r>
    <r>
      <rPr>
        <vertAlign val="subscript"/>
        <sz val="11"/>
        <color theme="1"/>
        <rFont val="Calibri"/>
        <family val="2"/>
        <scheme val="minor"/>
      </rPr>
      <t>M</t>
    </r>
  </si>
  <si>
    <t>** risk premium for asset = asset corr w global mkt x std dev of the asset x sharpe ratio for Global Port.</t>
  </si>
  <si>
    <t>Real Estate Model</t>
  </si>
  <si>
    <t>Cap Rate</t>
  </si>
  <si>
    <t>Cap rate is like denominator of GGM;</t>
  </si>
  <si>
    <t xml:space="preserve">Cap rate = E(Re) – NOI growth rate; </t>
  </si>
  <si>
    <t>E(Re) = Cap rate + NOI growth rate</t>
  </si>
  <si>
    <r>
      <t>E(Re) = caprate + NOI growth rate - %</t>
    </r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>cap rate</t>
    </r>
  </si>
  <si>
    <t>Cap rates = positively related to changes in interest rates and vacancy rates; -ive to available credit and debt financing</t>
  </si>
  <si>
    <t>RE risk premiums are higher than corporate bonds, but less than equity</t>
  </si>
  <si>
    <t>Build Up Model</t>
  </si>
  <si>
    <t>Start with RFR and add + term premium + credit premium + liquidity premium</t>
  </si>
  <si>
    <t>RFR:</t>
  </si>
  <si>
    <t>on the run treasury security (zero-coupon), match the horizon; If horizon is very long, maybe use longer term bond or return from rolling over short term periods to match</t>
  </si>
  <si>
    <t>Term Premium</t>
  </si>
  <si>
    <t xml:space="preserve">inflation uncertainty, recession uncertainty, supply and demand, </t>
  </si>
  <si>
    <t>credit premium</t>
  </si>
  <si>
    <t>yield spread is NOT a good predictor or default rates; stronger predictors are stock market, stock volatilty, and RFR; (GDP growth not as good)</t>
  </si>
  <si>
    <t>investment grade have low default rates, credit premium is one-sided (downgrade risk)</t>
  </si>
  <si>
    <t>liquidity premium</t>
  </si>
  <si>
    <t>*note, credit premiums not positively related to maturity; I guess "event risk" at short term will domintate</t>
  </si>
  <si>
    <t>liquidity tends to be highest at earliest stage of bonds life;  also  liquidity is higher for new, large, well known issuer, simple structure, high credit quality</t>
  </si>
  <si>
    <t>Emerging Market Soverign Debt warning signals</t>
  </si>
  <si>
    <t>Defecit to GDP Ratio</t>
  </si>
  <si>
    <t>greater than 4% is bad</t>
  </si>
  <si>
    <t xml:space="preserve">debt to GDP ratio </t>
  </si>
  <si>
    <t>Floor min of at least 4% REAL growth rate</t>
  </si>
  <si>
    <t>greater than 200% of current account is also high risk</t>
  </si>
  <si>
    <t>FX reserves relative to short term debt</t>
  </si>
  <si>
    <t>less than 100% of short term debt is warning sign</t>
  </si>
  <si>
    <t>Current account defecit</t>
  </si>
  <si>
    <t>70% to 80% is bad; even if Foreign debt level over 50% of GDP could mean overleveraged</t>
  </si>
  <si>
    <t>Sell Equities; Buy Bonds</t>
  </si>
  <si>
    <t>Increase Equity Weights, Reduce bond holdings</t>
  </si>
  <si>
    <t>yield curve is steep with credit and term premiums -&gt; reduce duration</t>
  </si>
  <si>
    <t>Liability Relative</t>
  </si>
  <si>
    <t>Goals Based Investing (GBI)</t>
  </si>
  <si>
    <t>SAA choose Target weights and set Tactical corridor widths/ranges for deviation</t>
  </si>
  <si>
    <t>Rebalancing:</t>
  </si>
  <si>
    <t>Risk tolerance: more tolerant = wider corridors</t>
  </si>
  <si>
    <t>Correlations: highly correlated classes = wider corridors</t>
  </si>
  <si>
    <t>Higher volatility = narrower corridors</t>
  </si>
  <si>
    <t>Derivatives overlay strategy can synthetically rebalance portfolio;</t>
  </si>
  <si>
    <t>Taxable portfolios will have wider corridors than tax exempt;</t>
  </si>
  <si>
    <t>TAA -&gt; Generate "Alpha" but also need to account for "tracking error" and monitoring costs/time/energy; Tax implications for Gains/Losses</t>
  </si>
  <si>
    <t>cost-benefit</t>
  </si>
  <si>
    <t>Transaction costs: higher costs for more illiquid assets = wider corridors/tolerance bands</t>
  </si>
  <si>
    <t>&lt;- Might be cheaper, lower tax, execute quicker and easier than traditional rebalancing; BUT -&gt; require additional risk management and monitoring</t>
  </si>
  <si>
    <t>Momentum: believe trends to continue -&gt; wider corridors;  believe mean-reviersion -&gt; narrower corridors</t>
  </si>
  <si>
    <t>Asset Classes:</t>
  </si>
  <si>
    <t>should not be correlated with each other (though in some cases they will be, eg international equity and domestic equity)</t>
  </si>
  <si>
    <t>should contain all investable assets</t>
  </si>
  <si>
    <t>should be specific enough that an asset could not fit into more than one (mutually exclusive)</t>
  </si>
  <si>
    <t>assets within class should have similar attributes in description and statistics</t>
  </si>
  <si>
    <t>for more granularity you can drill further into "sub-asset clases" eg  Fixed income -&gt; global fixed income -&gt; investment grade, high yield, developing, emerging markets, etc</t>
  </si>
  <si>
    <t>Asset Only -&gt; Use Mean Variance Optimization : Find Global market portfolio which is tangent line between RFR and Efficient Frontier.</t>
  </si>
  <si>
    <t xml:space="preserve">MVO Constraints -&gt; </t>
  </si>
  <si>
    <t xml:space="preserve">assets must add up to 100%; no negative weights; </t>
  </si>
  <si>
    <t>GIGO; Skewness/Kurtosis; Concentrated positions; ignores liabilities; single period (not multi like Monte Carlo, and no additions or rebalancing);</t>
  </si>
  <si>
    <t>Marginal Contribution to Total Risk (MCTR) and Absolute Contribution to Total Risk (ACTR)</t>
  </si>
  <si>
    <r>
      <rPr>
        <sz val="11"/>
        <color theme="1"/>
        <rFont val="Symbol"/>
        <family val="1"/>
        <charset val="2"/>
      </rPr>
      <t>\</t>
    </r>
    <r>
      <rPr>
        <sz val="11"/>
        <color theme="1"/>
        <rFont val="Calibri"/>
        <family val="2"/>
      </rPr>
      <t>total % of portfolio risk contributed by position is ACTR / total port risk</t>
    </r>
  </si>
  <si>
    <t>Risk Budgeting</t>
  </si>
  <si>
    <t>TAA success can be judged against the benchmark for SAA</t>
  </si>
  <si>
    <t>Also, compare Sharpe Ratios under SAA and TAA</t>
  </si>
  <si>
    <t>calculate the IR or T-stat of the excess realized returns relative to SAA</t>
  </si>
  <si>
    <t>perform attribution analyis on excess return to determine specific contribution of over/under weightings</t>
  </si>
  <si>
    <t>could use Macroeconomic Indicators; Fundamental Data and Sentiment Indicators</t>
  </si>
  <si>
    <t xml:space="preserve">MacroEconomic Data -&gt; </t>
  </si>
  <si>
    <t xml:space="preserve">bond yields; credit spreads; </t>
  </si>
  <si>
    <t>monetary policy</t>
  </si>
  <si>
    <t>GPD Growth</t>
  </si>
  <si>
    <t>earnings and inflation predictors</t>
  </si>
  <si>
    <t>Fundamental Data -&gt;</t>
  </si>
  <si>
    <t>devation of P/E, P/B and divident yield from historic averages</t>
  </si>
  <si>
    <t>Sentiment</t>
  </si>
  <si>
    <t>Margin Borrowing -&gt; increased purchases on margin drives up prices and is bullish signal (if too high can be bearish in that things are overbought)</t>
  </si>
  <si>
    <t>Short Interest -&gt; high amount of short selling is the opposite, bearish signal that things are ready to go down…..</t>
  </si>
  <si>
    <t xml:space="preserve">volatilty indexes -&gt; indicate level of "fear" in the market; </t>
  </si>
  <si>
    <t>review the bid-ask spread on index options -&gt; increases with purchases of puts and decreases with purchases of calls</t>
  </si>
  <si>
    <t>moving average cross-over -&gt; short term move average crossing above long term moving average indicate upward trend (and vice versa)</t>
  </si>
  <si>
    <t xml:space="preserve">reminder -&gt; </t>
  </si>
  <si>
    <t>european is exercisable only at expiry; American any time until expiry; Bermudan is only at specified dates until expiry</t>
  </si>
  <si>
    <t>Put Call Parity:</t>
  </si>
  <si>
    <r>
      <t>S</t>
    </r>
    <r>
      <rPr>
        <vertAlign val="subscript"/>
        <sz val="11"/>
        <color theme="1"/>
        <rFont val="Calibri"/>
        <family val="2"/>
        <scheme val="minor"/>
      </rPr>
      <t>0</t>
    </r>
    <r>
      <rPr>
        <sz val="11"/>
        <color theme="1"/>
        <rFont val="Calibri"/>
        <family val="2"/>
        <scheme val="minor"/>
      </rPr>
      <t xml:space="preserve"> + P</t>
    </r>
    <r>
      <rPr>
        <vertAlign val="subscript"/>
        <sz val="11"/>
        <color theme="1"/>
        <rFont val="Calibri"/>
        <family val="2"/>
        <scheme val="minor"/>
      </rPr>
      <t xml:space="preserve">0 </t>
    </r>
    <r>
      <rPr>
        <sz val="11"/>
        <color theme="1"/>
        <rFont val="Calibri"/>
        <family val="2"/>
        <scheme val="minor"/>
      </rPr>
      <t>= C</t>
    </r>
    <r>
      <rPr>
        <vertAlign val="subscript"/>
        <sz val="11"/>
        <color theme="1"/>
        <rFont val="Calibri"/>
        <family val="2"/>
        <scheme val="minor"/>
      </rPr>
      <t>0</t>
    </r>
    <r>
      <rPr>
        <sz val="11"/>
        <color theme="1"/>
        <rFont val="Calibri"/>
        <family val="2"/>
        <scheme val="minor"/>
      </rPr>
      <t xml:space="preserve"> + PV(x); </t>
    </r>
  </si>
  <si>
    <t>so like a “protective put” = call + PV of exercise price</t>
  </si>
  <si>
    <t>Long a Call and short a put -&gt; same as a synthetic long forward position (wins if the underlying goes up, loses if it goes down)</t>
  </si>
  <si>
    <t>Covered Call -&gt; Buy the underlying and Sell the Call Option; Generate additional income when belief is that stock price will remain unchanged in short run;</t>
  </si>
  <si>
    <t>Protective Put -&gt; Long the underlying and buy a Put Option; Limit downside risk @ cost of premium; Protection for drop but preserves upside potential;</t>
  </si>
  <si>
    <r>
      <t xml:space="preserve">Collar -&gt; </t>
    </r>
    <r>
      <rPr>
        <sz val="11"/>
        <color theme="1"/>
        <rFont val="Calibri"/>
        <family val="2"/>
        <scheme val="minor"/>
      </rPr>
      <t>Combination of a Protective Put and a Covered Call; Goal for owner of underlying asset -&gt; buy Protective Put and then Sell a Call to pay for the Put;</t>
    </r>
  </si>
  <si>
    <t xml:space="preserve">Premiums equal -&gt; Zero-Cost Collar; </t>
  </si>
  <si>
    <t xml:space="preserve">Usual Practice -&gt; Put Strike &lt; Call Strike; </t>
  </si>
  <si>
    <t xml:space="preserve">Downside limited by Long Put; </t>
  </si>
  <si>
    <t>Upside Limited by Short Call; Good Strategy for locking in value of Portfolio @ minimal Cost;</t>
  </si>
  <si>
    <r>
      <t xml:space="preserve">Straddle -&gt; </t>
    </r>
    <r>
      <rPr>
        <sz val="11"/>
        <color theme="1"/>
        <rFont val="Calibri"/>
        <family val="2"/>
        <scheme val="minor"/>
      </rPr>
      <t xml:space="preserve"> Purchase of both a Put Option and Call Option on same asset; Purchased </t>
    </r>
    <r>
      <rPr>
        <u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 xml:space="preserve"> same exercise price &amp; expiration; </t>
    </r>
  </si>
  <si>
    <t xml:space="preserve">yield enhancement -&gt; calls typically OTM; </t>
  </si>
  <si>
    <t>Reduce position at favorable price -&gt; calls are ITM</t>
  </si>
  <si>
    <t>target price realization -&gt; calls marginally OTM</t>
  </si>
  <si>
    <t>Bear and Bull Spreads</t>
  </si>
  <si>
    <t>Debit spreads -&gt; initial outlay (Bull Call and Bear Put)</t>
  </si>
  <si>
    <t xml:space="preserve">Max loss = net premium paid; </t>
  </si>
  <si>
    <t>Max profit = difference between strikes – net premium</t>
  </si>
  <si>
    <t>Credit spreads -&gt; initial income (Bear Call and Bull Put)</t>
  </si>
  <si>
    <t xml:space="preserve">Max loss = difference between strikes – net premium; </t>
  </si>
  <si>
    <t>Max profit = net premium received</t>
  </si>
  <si>
    <t>Bull spreads are Long on the lower and short on the higher strike (buy low sell high)</t>
  </si>
  <si>
    <t>Bear spreads are short on the lower strike and long on the upper strike (sell low and buy high)</t>
  </si>
  <si>
    <t>The Greeks</t>
  </si>
  <si>
    <t>Ex.</t>
  </si>
  <si>
    <r>
      <t>Bull Call Spread -&gt;</t>
    </r>
    <r>
      <rPr>
        <sz val="11"/>
        <color theme="1"/>
        <rFont val="Calibri"/>
        <family val="2"/>
        <scheme val="minor"/>
      </rPr>
      <t xml:space="preserve"> Provides limited upside if underlying rises with limited downside;</t>
    </r>
  </si>
  <si>
    <r>
      <t xml:space="preserve">Purchase Call </t>
    </r>
    <r>
      <rPr>
        <u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 xml:space="preserve"> low exercise price; Subsidize by selling call </t>
    </r>
    <r>
      <rPr>
        <u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 xml:space="preserve"> higher exercise price;</t>
    </r>
  </si>
  <si>
    <r>
      <t>Expect underlying to rise “into the money” of X</t>
    </r>
    <r>
      <rPr>
        <vertAlign val="subscript"/>
        <sz val="11"/>
        <color theme="1"/>
        <rFont val="Calibri"/>
        <family val="2"/>
        <scheme val="minor"/>
      </rPr>
      <t>L</t>
    </r>
    <r>
      <rPr>
        <sz val="11"/>
        <color theme="1"/>
        <rFont val="Calibri"/>
        <family val="2"/>
        <scheme val="minor"/>
      </rPr>
      <t xml:space="preserve"> but not rise enough to trigger X</t>
    </r>
    <r>
      <rPr>
        <vertAlign val="subscript"/>
        <sz val="11"/>
        <color theme="1"/>
        <rFont val="Calibri"/>
        <family val="2"/>
        <scheme val="minor"/>
      </rPr>
      <t>H</t>
    </r>
  </si>
  <si>
    <r>
      <t xml:space="preserve">Bear Put Spread -&gt; </t>
    </r>
    <r>
      <rPr>
        <sz val="11"/>
        <color theme="1"/>
        <rFont val="Calibri"/>
        <family val="2"/>
        <scheme val="minor"/>
      </rPr>
      <t>Provides limited upside if underlying declines with limited downside;</t>
    </r>
  </si>
  <si>
    <r>
      <t xml:space="preserve">Buy a Put </t>
    </r>
    <r>
      <rPr>
        <u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 xml:space="preserve"> a higher strike price &amp; sell a Put </t>
    </r>
    <r>
      <rPr>
        <u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 xml:space="preserve"> a lower strike price;</t>
    </r>
  </si>
  <si>
    <t>Bear Call Spread</t>
  </si>
  <si>
    <t>Bull Put Spread</t>
  </si>
  <si>
    <t>Delta -&gt; Change in option price per +1 change in stock price; +ive for long calls and –ive for long puts</t>
  </si>
  <si>
    <t>Gamma -&gt; change in option delta per +1 change in stock price; +ive for long calls and long puts</t>
  </si>
  <si>
    <t>Theta -&gt; daily change in option price (time passing); -ive for long calls and long puts</t>
  </si>
  <si>
    <t>Vega -&gt; change in option price per +1% change in volatility; +ive for long calls and long puts</t>
  </si>
  <si>
    <t>*The more ITM an option is, the higher is its “absolute” delta (closer to 1)</t>
  </si>
  <si>
    <t>The more OTM an option is, the lower is its “absolute delta (closer to 0)</t>
  </si>
  <si>
    <t>Exploit the difference in theta between close to expiry and more distant expiry options</t>
  </si>
  <si>
    <t>Options that are near to ATM: Nearer dated will have higher absolute theta (more negative) than longer dated ones.</t>
  </si>
  <si>
    <r>
      <t xml:space="preserve">Long calendar spread -&gt; buying the longer dated and selling shorter dated </t>
    </r>
    <r>
      <rPr>
        <u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 xml:space="preserve"> same strike and underlying. Premium on shorter dated should fall faster than longer -&gt; earning a profit. (calls if bullish, puts if bearish)</t>
    </r>
  </si>
  <si>
    <t>Options need to be close to ATM.</t>
  </si>
  <si>
    <t>If they are very ITM or OTM, then opposite can be done -&gt; buy the shorter dated and sell the longer dated (which should theoretically lose time value more quickly).</t>
  </si>
  <si>
    <t>Long calendar spread -&gt; benefit from stable market or increase in volatility</t>
  </si>
  <si>
    <t>Short calendar spread -&gt; benefit from big move in underlying or decrease in volatility</t>
  </si>
  <si>
    <t>Calendar Spreads</t>
  </si>
  <si>
    <t>Volatility Skew or Smile</t>
  </si>
  <si>
    <t>Smile -&gt; further ATM options have higher implied volatilites, and so smile when plot graph of volatility vs strike price</t>
  </si>
  <si>
    <t>Skew (more common) -&gt; implied volatility exists more for OTM puts than calls (higher demand for "insurance" than for demand for "speculators" buying OTM calls)</t>
  </si>
  <si>
    <t>-&gt; devations in skew from historic levels can be a gauge for market sentiment:</t>
  </si>
  <si>
    <t>sharp increase in level and skew -&gt; plus a surge in absolute level of volatility -&gt; market sentiment is turning bearish</t>
  </si>
  <si>
    <t>higher implied volatilities (relative to historic levels) for OTM calls indicate that investors are bullish, so demand for OTM calls for upside exposure is strong</t>
  </si>
  <si>
    <t>Payer SWAP -&gt; pay fixed and receive floating; wins if interest rates increase; similar to issuing a fixed rate note and purchasing a floating rate note (FRN)</t>
  </si>
  <si>
    <t xml:space="preserve">** Fixed rate note has greater modified duration than a FRN; </t>
  </si>
  <si>
    <r>
      <t>\</t>
    </r>
    <r>
      <rPr>
        <sz val="11"/>
        <color theme="1"/>
        <rFont val="Calibri"/>
        <family val="2"/>
        <scheme val="minor"/>
      </rPr>
      <t>payer swap has –ive duration (increases in value when interest rates increase); receiver swap has +ive duration</t>
    </r>
  </si>
  <si>
    <t>SWAPs</t>
  </si>
  <si>
    <t>MDt -&gt; target modified duration</t>
  </si>
  <si>
    <t>MDp -&gt; current portfolio duration</t>
  </si>
  <si>
    <t>MDs -&gt; modified duration of SWAP</t>
  </si>
  <si>
    <t>MVp &gt; market value of portfolio</t>
  </si>
  <si>
    <t xml:space="preserve">enter as pay fixed receive float to DECREASE duration; </t>
  </si>
  <si>
    <t>enter as pay float receive fixed to INCREASE duration</t>
  </si>
  <si>
    <t>Forward Rate Agreements (FRA)</t>
  </si>
  <si>
    <t>STIR – Eurodollar futures deposits</t>
  </si>
  <si>
    <t>Quoted as 100 – annualized fwd rate;</t>
  </si>
  <si>
    <r>
      <t xml:space="preserve">1 bps </t>
    </r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 xml:space="preserve"> in fwd rate cause contract value to change by $25</t>
    </r>
  </si>
  <si>
    <t xml:space="preserve">***opposite to FRA in that the STIR value will RISE when interest rates decrease, and value will DECREASE when interest rates rise. </t>
  </si>
  <si>
    <t>**Rememer -&gt; Futures are standardized, exchange traded and require margin; Forwards are highly customizable and subject to counterparty risk</t>
  </si>
  <si>
    <t>Principal invoice price = (futures settlement / 100) x $100,000 x CF</t>
  </si>
  <si>
    <t>Profit/loss on delivery = [(settlement price x CF) + Accrued Int] – [(CTD clean price + Accrued Interest)]</t>
  </si>
  <si>
    <t xml:space="preserve"> MD only captures parallel changes (ignores convexity, steeping, flattening, etc).</t>
  </si>
  <si>
    <r>
      <t xml:space="preserve">Hedging is not perfect: CTD bond can change w </t>
    </r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 xml:space="preserve">’s in interest rates; duration is not perfect measure of how bonds react to interest rate </t>
    </r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>’s;</t>
    </r>
  </si>
  <si>
    <t>*don’t forget "-"ive</t>
  </si>
  <si>
    <t>bond futures gain/(loss) = BPVF × change in yield × # of futures contracts</t>
  </si>
  <si>
    <t xml:space="preserve">BPVF = BPVCTD / CF </t>
  </si>
  <si>
    <t>Equity SWAPS</t>
  </si>
  <si>
    <t xml:space="preserve">Relatively illiquid; required collateral; no voting rights; </t>
  </si>
  <si>
    <t>BUT</t>
  </si>
  <si>
    <t>gain exposure w/o having to own</t>
  </si>
  <si>
    <t>Volatility</t>
  </si>
  <si>
    <t>VIX Index -&gt; measures implied volatility in S&amp;P 500 over next 30 days; weighted average of calls and puts</t>
  </si>
  <si>
    <r>
      <t xml:space="preserve">Is an </t>
    </r>
    <r>
      <rPr>
        <b/>
        <sz val="11"/>
        <color theme="1"/>
        <rFont val="Calibri"/>
        <family val="2"/>
        <scheme val="minor"/>
      </rPr>
      <t>annualized</t>
    </r>
    <r>
      <rPr>
        <sz val="11"/>
        <color theme="1"/>
        <rFont val="Calibri"/>
        <family val="2"/>
        <scheme val="minor"/>
      </rPr>
      <t xml:space="preserve"> standard deviation</t>
    </r>
  </si>
  <si>
    <t>Value lower than 20 -&gt; low risk (very low can suggest bulish market)</t>
  </si>
  <si>
    <t>Value higher than 30 -&gt; high risk (very high can suggest bearish market)</t>
  </si>
  <si>
    <t>*there is significant mean reversion for VIX</t>
  </si>
  <si>
    <t>remember there is no "SPOT" VIX</t>
  </si>
  <si>
    <t>* negative correlation between VIX and stock market</t>
  </si>
  <si>
    <t>Options market analysis</t>
  </si>
  <si>
    <t>Seagull spread is like a put spread but subsidized even futher by writing/shorting a call option to further reduce upside potential</t>
  </si>
  <si>
    <t>Low Correlation to Equity Markets</t>
  </si>
  <si>
    <t>Poor Economy -&gt; low interest rates but higher spreads for low quality HY</t>
  </si>
  <si>
    <t>Good economy -&gt; higher interest rates but lower spreads for HY</t>
  </si>
  <si>
    <t xml:space="preserve"> Also of note, during crisis flight to quality might cause much of HY market to decline during overall period of market stress (so correlation is closer to +1.0). HY is closer correlated to Equity than IG</t>
  </si>
  <si>
    <t>Liability based mandates:</t>
  </si>
  <si>
    <t>Cash-flow matching; Duration matching; contingent immunization; Derivates Overlay</t>
  </si>
  <si>
    <t>Total return mandates:</t>
  </si>
  <si>
    <t>Pure indexing; Enhanced Indexing (typically duration is still matched) ; Active management</t>
  </si>
  <si>
    <t xml:space="preserve">Low correlation to equity markets (less than 1.0); But, some segments (IG, or HY for example) have high correlation with each other or react more to certain conditions </t>
  </si>
  <si>
    <t>(IG more effected by benchmark sovereign YC, HY more effected by changes to spread ratings)</t>
  </si>
  <si>
    <t>Modified Duration -&gt; Macaulay Duration divided by 1+ yield (gives approx. expected % change in bond price for a 1% change in yield)</t>
  </si>
  <si>
    <t>Effective Duration -&gt; sensitivity for bond price to parallel shift chance in benchmark yield curve</t>
  </si>
  <si>
    <t>Key Rate Duration -&gt; sensitivity for bond price to change in YC for a specific maturity, all else unchanged</t>
  </si>
  <si>
    <t>Empirical Duration -&gt; same as effective, but derived from regression analysis and not modelling.</t>
  </si>
  <si>
    <t>Convexity -&gt; extent to which the bond’s price behaves versus yield being non-linear (+ive convexity implies that bond price will rise more when yields fall than they will decrease when yields rise)</t>
  </si>
  <si>
    <t>Components of expected return:</t>
  </si>
  <si>
    <r>
      <t>1.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Income yield: annual coupon / current bond price</t>
    </r>
  </si>
  <si>
    <r>
      <t>2.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Rolldown return: (end price – beg price) / beg price;</t>
    </r>
  </si>
  <si>
    <r>
      <t>3.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 xml:space="preserve">Expected price change: (-MD x </t>
    </r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 xml:space="preserve">Y) + (0.5 x C x </t>
    </r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>Y</t>
    </r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</t>
    </r>
  </si>
  <si>
    <t>Use MD if spread duration not given</t>
  </si>
  <si>
    <t>5.  FX gain or loss</t>
  </si>
  <si>
    <r>
      <t>4.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Credit losses:  (-MD x ∆S) + (0.5 x C x ∆S2)</t>
    </r>
  </si>
  <si>
    <t>Leverage and Tax</t>
  </si>
  <si>
    <t>A bull steepener is the view that short-term rates will fall by more than long-term rates. This might occur when central banks cut short-term rates during an economic contraction.</t>
  </si>
  <si>
    <t>A bear steepener is the view that long-term rates will rise by more than short-term rates. Central bank rates were too low for too long.</t>
  </si>
  <si>
    <t>Bear flattener: short term rates will rise more than long term rates; CB raises short term rates to curb inflation</t>
  </si>
  <si>
    <t>Bull flattener: long term rates fall more than short term rates; “fight to quality” from risky towards RFR.</t>
  </si>
  <si>
    <t>Butterfly strategy -&gt; combine long and short positions in bullets (body) and barbells (wings) accordingly.</t>
  </si>
  <si>
    <t>butterfly spread = –(short-term yield) + (2 × medium-term yield) – long-term yield</t>
  </si>
  <si>
    <t>If curvature is increasing (then short body long wings) -&gt; “frowns more” and called as a “negative twist”</t>
  </si>
  <si>
    <t>If curvature is decreasing (long body short wings) -&gt; like a “positive twist” and “smile more frown less”</t>
  </si>
  <si>
    <t>*option always lowers the duration of the otherwise option-free bond</t>
  </si>
  <si>
    <t>Call options on bonds</t>
  </si>
  <si>
    <t>Adding call options on a bond or a bond futures contract will INCREASE duration of FI portfolio; calls will increase in value as yields fall and bond prices rise; will also INCREASE convexity</t>
  </si>
  <si>
    <t>Put options will DECREASE duration of FI portfolio; will also LOWER convexity</t>
  </si>
  <si>
    <t>PAYER SWAPTION (right to enter as fixed payer) will decrease duration and convexity</t>
  </si>
  <si>
    <t>Receiver SWAPTION (right to enter as fixed receiver) will increase duration and convexity</t>
  </si>
  <si>
    <t>On bonds -&gt; "Bearish" means rates are expected to rise and therefore values are expected to decline</t>
  </si>
  <si>
    <t>"Bullish" means rates are expected to decrease and therefore values are expected to Increase</t>
  </si>
  <si>
    <t>dec ↓profits &amp; confidence</t>
  </si>
  <si>
    <t>inc ↑unemployment &amp; bankruptcies;</t>
  </si>
  <si>
    <t xml:space="preserve"> inflation tops out</t>
  </si>
  <si>
    <t xml:space="preserve"> falling S-T interest rates</t>
  </si>
  <si>
    <t>falling bond yields -&gt; inc ↑prices</t>
  </si>
  <si>
    <t>stock prices ↑inc during latter stages -&gt; anticipating end of recession;</t>
  </si>
  <si>
    <t>Recession: 12 months to 18;</t>
  </si>
  <si>
    <t>*note on bonds -&gt; credit spreads and RFR move inversely, therefore for HY junk bonds, sometimes when RFR drops during recession the credit spread increases -&gt; causing bond price to remain relatively stable</t>
  </si>
  <si>
    <t>Simplest spread is YTM minus YTM of closest maturity on-the-run govt bond</t>
  </si>
  <si>
    <t>G-spread -&gt; bond’s YTM minus interpolated YTM of two adjacent on-the-run govt bonds;</t>
  </si>
  <si>
    <r>
      <t xml:space="preserve">Asset SWAP Spread (ASW) -&gt; bond’s fixed </t>
    </r>
    <r>
      <rPr>
        <b/>
        <sz val="11"/>
        <color theme="1"/>
        <rFont val="Calibri"/>
        <family val="2"/>
        <scheme val="minor"/>
      </rPr>
      <t>coupon</t>
    </r>
    <r>
      <rPr>
        <sz val="11"/>
        <color theme="1"/>
        <rFont val="Calibri"/>
        <family val="2"/>
        <scheme val="minor"/>
      </rPr>
      <t xml:space="preserve"> minus maturity interpolated SWAP fixed rate;</t>
    </r>
  </si>
  <si>
    <t>ZVS Spread -&gt; trial and error spread that when added to each maturity CF discounts back to mkt value;</t>
  </si>
  <si>
    <t>OAS -&gt; only spread measure for assessing credit/liquidity risks of bonds with embedded options;</t>
  </si>
  <si>
    <t>If DM &gt; QM, then bond will trade below par (investors require higher margin above MRR than being paid)</t>
  </si>
  <si>
    <t>%∆price = (–EffSpreadDur × ∆spread) + (½ × EffSpreadCon × ∆spread2)</t>
  </si>
  <si>
    <t>“∆spread” here is typically defined as the change in the OAS.</t>
  </si>
  <si>
    <t>duration times spread (DTS) is</t>
  </si>
  <si>
    <t>DTS ≈ EffSpreadDur × spread</t>
  </si>
  <si>
    <t>Excess Spread *****</t>
  </si>
  <si>
    <t>expected excess spread = spread – (EffSpreadDur × ∆spread) – (POD × LGD)</t>
  </si>
  <si>
    <t>Credit Default SWAPS</t>
  </si>
  <si>
    <t>CDS price ≈ 1 + [(fixed coupon – CDS spread) × EffSpreadDurCDS]</t>
  </si>
  <si>
    <t>**remember, buyer is “betting” on shitty event happening! Opposite intuition for mark-to-market</t>
  </si>
  <si>
    <t xml:space="preserve">Buyer for CDS protection pays 1% (IG) or 5% (HY) coupon for the “insurance” so it’s standardized; if the CDS spread is warranted to be above or below this mark; </t>
  </si>
  <si>
    <t>buyer will make up front premium payment to protection seller (or receive from seller if below);</t>
  </si>
  <si>
    <t>Don’t forget the BPV = .0001 x duration x value !</t>
  </si>
  <si>
    <t>CDS spreads widen -&gt; long CDS owner/buyer wins; CDS spreads Narrow -&gt; short owner/seller wins</t>
  </si>
  <si>
    <t>buy HY bonds and sell IG bonds</t>
  </si>
  <si>
    <t>Buy IG bonds and sell HY bonds</t>
  </si>
  <si>
    <t>Term insurance -&gt; covers only designated period; cheaper</t>
  </si>
  <si>
    <t>Whole Life -&gt; fixed payment, usually non-cancellable; can be “paid-up” to end premiums req’d</t>
  </si>
  <si>
    <t>Universal Life -&gt; premiums can be increased/decreased; possibly investment options; Riders</t>
  </si>
  <si>
    <t>Net Payment Cost Index -&gt; assumes dies and no cash value considered;</t>
  </si>
  <si>
    <t>*calc FV of premiums; FV of any dividends; Calc Premium FV minus Div FV and then Calc PMT (annuitize)</t>
  </si>
  <si>
    <t>Net Surrender Cost -&gt; assumes policy canceled at end and cashed out before death</t>
  </si>
  <si>
    <t>*calc FV of premiums; FV of dividends; Calc Premium FV minus Div FV minus cash payout and then Calc PMT (annuitize);</t>
  </si>
  <si>
    <t>Annuities</t>
  </si>
  <si>
    <t>Deferred Annuity -&gt; starts at a later date;</t>
  </si>
  <si>
    <t>Deferred Variable -&gt; may allow for list of investment options which can increase/decrease payments</t>
  </si>
  <si>
    <t>Deferred Fixed -&gt; longer the delay away from now will increase payments</t>
  </si>
  <si>
    <t>Advanced Life deferred annuity -&gt; start period is ofter longer away, like at 80 years old or more; cheaper since there is risk of dying before payments start, and payment period will be shorter too.</t>
  </si>
  <si>
    <t>Immediate Varable -&gt; payments pegged against an index or inflation</t>
  </si>
  <si>
    <t>https://data.worldbank.org/indicator</t>
  </si>
  <si>
    <t>https://www.imf.org/en/Data</t>
  </si>
  <si>
    <t>Global PMI (Manufacturing)</t>
  </si>
  <si>
    <t>US employment</t>
  </si>
  <si>
    <t>US consumer spending</t>
  </si>
  <si>
    <t>personal consumption spending</t>
  </si>
  <si>
    <t>brazil GDP (proxy for commodity exporters)</t>
  </si>
  <si>
    <t>chile copper exports</t>
  </si>
  <si>
    <t>euro inflation</t>
  </si>
  <si>
    <t>German Ifo</t>
  </si>
  <si>
    <t>China Manufacturing PMI</t>
  </si>
  <si>
    <t>exceeding 4% of GDP is bad</t>
  </si>
  <si>
    <t>*Historic Average is between 19 and 20</t>
  </si>
  <si>
    <t>Value lower than 20 -&gt; low risk (very low can suggest bullish market)</t>
  </si>
  <si>
    <t>buying a VIX call option is often considered a wise hedge against a near-term drop in equity markets</t>
  </si>
  <si>
    <t>Put / Call Ratio -&gt; Lower means more buying calls than puts = bullish optimistic</t>
  </si>
  <si>
    <t>Implementation Shortfall</t>
  </si>
  <si>
    <t>Market Adjusted Trade Costs</t>
  </si>
  <si>
    <t>M</t>
  </si>
  <si>
    <t>SAMURAI</t>
  </si>
  <si>
    <r>
      <rPr>
        <b/>
        <sz val="11"/>
        <color theme="1"/>
        <rFont val="Calibri"/>
        <family val="2"/>
        <scheme val="minor"/>
      </rPr>
      <t>Specified</t>
    </r>
    <r>
      <rPr>
        <sz val="11"/>
        <color theme="1"/>
        <rFont val="Calibri"/>
        <family val="2"/>
        <scheme val="minor"/>
      </rPr>
      <t xml:space="preserve"> in Advance</t>
    </r>
  </si>
  <si>
    <t>known by manager and sponsor @ start period</t>
  </si>
  <si>
    <t>Appropriate</t>
  </si>
  <si>
    <t>consistent with style and approach</t>
  </si>
  <si>
    <t>Measurable</t>
  </si>
  <si>
    <t>value and return easilty determined on frequent basis</t>
  </si>
  <si>
    <t>Unambigious</t>
  </si>
  <si>
    <t>clearly defined</t>
  </si>
  <si>
    <t>Relative</t>
  </si>
  <si>
    <t>of current investment options</t>
  </si>
  <si>
    <t>Accountable</t>
  </si>
  <si>
    <t>accept accountability</t>
  </si>
  <si>
    <t>Investable</t>
  </si>
  <si>
    <t>possible to replicate and forgo active management</t>
  </si>
  <si>
    <t>Examples:</t>
  </si>
  <si>
    <t>Absolute Return</t>
  </si>
  <si>
    <t>Pros</t>
  </si>
  <si>
    <t>Cons</t>
  </si>
  <si>
    <t>+ive -&gt; simple</t>
  </si>
  <si>
    <t>-ive -&gt; not an investable alternative</t>
  </si>
  <si>
    <t>+ive -&gt; measurable;</t>
  </si>
  <si>
    <t>-ive -&gt; survivor bias; cannot be identified in advance; possibly unreliable;</t>
  </si>
  <si>
    <t>Broad Market Indexes (S&amp;P, etc)</t>
  </si>
  <si>
    <t>+ive -&gt; well recognized; widely available; investible; unambiguous; measurable;</t>
  </si>
  <si>
    <t>Style Index -&gt; represent portion of asset categories</t>
  </si>
  <si>
    <t xml:space="preserve">+ive -&gt; same as above; </t>
  </si>
  <si>
    <t>-ive-&gt; possibly contain inappropriate weights; different definitions possible;</t>
  </si>
  <si>
    <r>
      <t xml:space="preserve">Factor Based Model -&gt; equation </t>
    </r>
    <r>
      <rPr>
        <u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 xml:space="preserve"> different sensitivities of inputs;</t>
    </r>
  </si>
  <si>
    <t>+ive -&gt; useful, provides insight into different exposure affects;</t>
  </si>
  <si>
    <t>-ive -&gt; not intuitive to all managers; data not always available;</t>
  </si>
  <si>
    <t>Returns based -&gt; algorithms on managed account &amp; several style indexes for same period;</t>
  </si>
  <si>
    <t>+ives -&gt; easy to use &amp; intuitive; meets criteria;</t>
  </si>
  <si>
    <t>-ives-&gt; not always include available to own; styles change;</t>
  </si>
  <si>
    <t>Custom security based -&gt; designed to reflect security allocations &amp; investment process;</t>
  </si>
  <si>
    <t>+ives -&gt; meets all criteria; allows control monitoring;</t>
  </si>
  <si>
    <t>-ives -&gt; expensive to construct &amp; maintain;</t>
  </si>
  <si>
    <t>Manager Universe -</t>
  </si>
  <si>
    <t>&gt; median manager or fund of broad universe of managers/funds</t>
  </si>
  <si>
    <t xml:space="preserve"> -ive-&gt; style may deviate from index</t>
  </si>
  <si>
    <t>P = M + S + A</t>
  </si>
  <si>
    <t>Portfolio Return = Market Return + "Style" Return + "Active" Return</t>
  </si>
  <si>
    <t>S = B - M</t>
  </si>
  <si>
    <t xml:space="preserve"> Benchmark - Market</t>
  </si>
  <si>
    <t>A = P - B</t>
  </si>
  <si>
    <t>Portfolio - Benchmark</t>
  </si>
  <si>
    <t>Portfolio Return</t>
  </si>
  <si>
    <t>Benchmark Return</t>
  </si>
  <si>
    <t>Return due to Style</t>
  </si>
  <si>
    <t>Active Return</t>
  </si>
  <si>
    <t>Market Return</t>
  </si>
  <si>
    <t>Performance</t>
  </si>
  <si>
    <t>Attribution</t>
  </si>
  <si>
    <t>higher is good for UP, and lower is good for bad; combined capture ratio over 1 is good (positive asymmetrical) , lower is bad (negatively asymmetrical) ;</t>
  </si>
  <si>
    <t xml:space="preserve">Don’t forget from CAPM that </t>
  </si>
  <si>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Drawdown -&gt; like a watermark; how long until cumulative negative returns are finally back to positive (arithmetically);</t>
    </r>
  </si>
  <si>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 xml:space="preserve">Capture Ratios -&gt; measure relative performance to benchmark when markets are up </t>
    </r>
    <r>
      <rPr>
        <sz val="11"/>
        <color theme="1"/>
        <rFont val="Symbol"/>
        <family val="1"/>
        <charset val="2"/>
      </rPr>
      <t>­</t>
    </r>
    <r>
      <rPr>
        <sz val="11"/>
        <color theme="1"/>
        <rFont val="Calibri"/>
        <family val="2"/>
        <scheme val="minor"/>
      </rPr>
      <t xml:space="preserve"> or down </t>
    </r>
    <r>
      <rPr>
        <sz val="11"/>
        <color theme="1"/>
        <rFont val="Symbol"/>
        <family val="1"/>
        <charset val="2"/>
      </rPr>
      <t>¯</t>
    </r>
    <r>
      <rPr>
        <sz val="11"/>
        <color theme="1"/>
        <rFont val="Calibri"/>
        <family val="2"/>
        <scheme val="minor"/>
      </rPr>
      <t xml:space="preserve">. Eg. Upside (port / bench) and then downside (port/bench) and then Capture is upside ratio/downside ratio; </t>
    </r>
  </si>
  <si>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>Sortino Ratio -&gt; only measures downside risk unlike Sharpe</t>
    </r>
  </si>
  <si>
    <r>
      <rPr>
        <sz val="7"/>
        <color theme="1"/>
        <rFont val="Times New Roman"/>
        <family val="1"/>
      </rPr>
      <t xml:space="preserve">    </t>
    </r>
    <r>
      <rPr>
        <sz val="11"/>
        <color theme="1"/>
        <rFont val="Calibri"/>
        <family val="2"/>
        <scheme val="minor"/>
      </rPr>
      <t>Appraisal Ratio -&gt; measures ratio of active return (α) to volatility of residual term (</t>
    </r>
    <r>
      <rPr>
        <sz val="11"/>
        <color theme="1"/>
        <rFont val="Symbol"/>
        <family val="1"/>
        <charset val="2"/>
      </rPr>
      <t>se</t>
    </r>
    <r>
      <rPr>
        <sz val="11"/>
        <color theme="1"/>
        <rFont val="Calibri"/>
        <family val="2"/>
        <scheme val="minor"/>
      </rPr>
      <t>) from regression</t>
    </r>
  </si>
  <si>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Information Ratio -&gt; Similar to Sharpe -&gt; but excess return is portfolio return less appropriate benchmark; “Active Return” Vs active risk;</t>
    </r>
  </si>
  <si>
    <r>
      <rPr>
        <sz val="7"/>
        <color theme="1"/>
        <rFont val="Times New Roman"/>
        <family val="1"/>
      </rPr>
      <t xml:space="preserve">    </t>
    </r>
    <r>
      <rPr>
        <sz val="11"/>
        <color theme="1"/>
        <rFont val="Calibri"/>
        <family val="2"/>
        <scheme val="minor"/>
      </rPr>
      <t>Treynor Measure -&gt; denominator is measured by beta, so it only considers systematic risk rather than total risk; only useful for well diversified portfolios (without unsystematic risk)</t>
    </r>
  </si>
  <si>
    <r>
      <rPr>
        <sz val="7"/>
        <color theme="1"/>
        <rFont val="Times New Roman"/>
        <family val="1"/>
      </rPr>
      <t xml:space="preserve"> </t>
    </r>
    <r>
      <rPr>
        <sz val="11"/>
        <color theme="1"/>
        <rFont val="Calibri"/>
        <family val="2"/>
        <scheme val="minor"/>
      </rPr>
      <t>Sharpe Ratio -&gt;; incremental or excess return over the risk-free rate (numerator) divided by standard deviation (denominator). does not differentiate between volatility that is upside versus downside. Therefore, there is a penalty for all volatility, even if it is “good” volatility</t>
    </r>
  </si>
  <si>
    <t>%∆E = %∆A(M) − %∆L(M − 1)</t>
  </si>
  <si>
    <t>where</t>
  </si>
  <si>
    <t>M = leverage multiplier, A / E</t>
  </si>
  <si>
    <t>DE</t>
  </si>
  <si>
    <t>DA</t>
  </si>
  <si>
    <t>DL</t>
  </si>
  <si>
    <t>= modified duration of the institution’s equity capital</t>
  </si>
  <si>
    <t>= modified duration of the institution’s assets</t>
  </si>
  <si>
    <t>= modified duration of the institution’s liabilities</t>
  </si>
  <si>
    <t>= leverage multiplier, A / E</t>
  </si>
  <si>
    <r>
      <t>D</t>
    </r>
    <r>
      <rPr>
        <sz val="11"/>
        <color theme="1"/>
        <rFont val="Calibri"/>
        <family val="2"/>
        <scheme val="minor"/>
      </rPr>
      <t xml:space="preserve">i / </t>
    </r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 xml:space="preserve">y </t>
    </r>
  </si>
  <si>
    <t>= estimated change in yield of liabilities, i, relative to a unit change in yield of assets, y</t>
  </si>
  <si>
    <t>For Duration***</t>
  </si>
  <si>
    <t>For Risk***</t>
  </si>
  <si>
    <t>* just think of it like the same old std dev formula for a 2 asset variance with a weight of M for Assets and M-1 for Liabilities -&gt; BUT SUBTRACT THE THIRD TERM not ADD!!!!!</t>
  </si>
  <si>
    <t>absolute cost ($) = side × (execution price − benchmark price) × shares executed</t>
  </si>
  <si>
    <t>market-adjusted cost (bps) = arrival cost (bps) − β × index cost (bps)</t>
  </si>
  <si>
    <t>arrival cost</t>
  </si>
  <si>
    <t>β</t>
  </si>
  <si>
    <t>or</t>
  </si>
  <si>
    <t>added value (bps) = arrival cost (bps) − estimated pretrade cost (bps)</t>
  </si>
  <si>
    <t>= the arrival cost of the trade based on an arrival price benchmark</t>
  </si>
  <si>
    <t>= beta of the security versus the index used to calculate index cost</t>
  </si>
  <si>
    <t>buy</t>
  </si>
  <si>
    <t>sell</t>
  </si>
  <si>
    <t>side</t>
  </si>
  <si>
    <t>execution price</t>
  </si>
  <si>
    <t>benchmark price</t>
  </si>
  <si>
    <t># shares exectuted</t>
  </si>
  <si>
    <t>arrival price</t>
  </si>
  <si>
    <t>Remember, "-ive cost" is like a "+ive" benefit</t>
  </si>
  <si>
    <t>Security Beta</t>
  </si>
  <si>
    <t>index arrival</t>
  </si>
  <si>
    <t>index execution</t>
  </si>
  <si>
    <t>index cost</t>
  </si>
  <si>
    <t>Sector</t>
  </si>
  <si>
    <t>Basic Materials</t>
  </si>
  <si>
    <t>Financial Services</t>
  </si>
  <si>
    <t>Consumer Discretionary</t>
  </si>
  <si>
    <t>Utilities</t>
  </si>
  <si>
    <t>Energy</t>
  </si>
  <si>
    <t>Real Estate</t>
  </si>
  <si>
    <t>Healthcare</t>
  </si>
  <si>
    <t>Communications</t>
  </si>
  <si>
    <t>Technology</t>
  </si>
  <si>
    <t>Industrials</t>
  </si>
  <si>
    <t>Sector Weight</t>
  </si>
  <si>
    <t>Port</t>
  </si>
  <si>
    <t>Bechmark</t>
  </si>
  <si>
    <t>Return</t>
  </si>
  <si>
    <t>Port Sector</t>
  </si>
  <si>
    <t>Consumer Staples</t>
  </si>
  <si>
    <t>Benchmark</t>
  </si>
  <si>
    <t xml:space="preserve"> Sector Return</t>
  </si>
  <si>
    <t xml:space="preserve">Port Actual </t>
  </si>
  <si>
    <t xml:space="preserve">Benchmark </t>
  </si>
  <si>
    <t>Brinson Hood-Beebower (BHB Method)</t>
  </si>
  <si>
    <t xml:space="preserve">Allocation </t>
  </si>
  <si>
    <t>Effect</t>
  </si>
  <si>
    <t xml:space="preserve">Selection </t>
  </si>
  <si>
    <t>Interaction</t>
  </si>
  <si>
    <t>BHB Method</t>
  </si>
  <si>
    <t>Allocation Effect -&gt; Value added/subratracted by decisions to over/underweight segment vs benchmark</t>
  </si>
  <si>
    <t>Ai = (wi – Wi) × Bi       (take portfolio weight minus benchmark weight and multiply by Benchmark return)</t>
  </si>
  <si>
    <t>Selection Effect -&gt; value added/subtracted by selecting investments different from in benchmark</t>
  </si>
  <si>
    <t>Si = Wi × (Ri – Bi)     (take benchmark weight and multiply by difference between Port and Bench returns)</t>
  </si>
  <si>
    <r>
      <t xml:space="preserve">Interaction Effect -&gt; measures impact on active return of allocation and selection effects acting </t>
    </r>
    <r>
      <rPr>
        <i/>
        <sz val="11"/>
        <color theme="1"/>
        <rFont val="Calibri"/>
        <family val="2"/>
        <scheme val="minor"/>
      </rPr>
      <t>together</t>
    </r>
  </si>
  <si>
    <t>Total</t>
  </si>
  <si>
    <t>Ii = (wi – Wi) × (Ri – Bi)</t>
  </si>
  <si>
    <t>Brinson-Fachler (BF) Method</t>
  </si>
  <si>
    <t>Does allocation effect a bit differently to further breakdown +ive/-ive decision to over/under weight segment individually instead of having to look at all the segments in aggregate to see this.</t>
  </si>
  <si>
    <r>
      <t xml:space="preserve">Ai = (wi – Wi) × (Bi – </t>
    </r>
    <r>
      <rPr>
        <b/>
        <sz val="11"/>
        <color theme="1"/>
        <rFont val="Calibri"/>
        <family val="2"/>
        <scheme val="minor"/>
      </rPr>
      <t>B</t>
    </r>
    <r>
      <rPr>
        <sz val="11"/>
        <color theme="1"/>
        <rFont val="Calibri"/>
        <family val="2"/>
        <scheme val="minor"/>
      </rPr>
      <t>)</t>
    </r>
  </si>
  <si>
    <t>Overall Market Return</t>
  </si>
  <si>
    <t>Stock</t>
  </si>
  <si>
    <t>Put</t>
  </si>
  <si>
    <t>Call</t>
  </si>
  <si>
    <t>Bond</t>
  </si>
  <si>
    <t>Parity</t>
  </si>
  <si>
    <t>interest</t>
  </si>
  <si>
    <t>time (m)</t>
  </si>
  <si>
    <t>outputs</t>
  </si>
  <si>
    <t>inputs</t>
  </si>
  <si>
    <t>Strike</t>
  </si>
  <si>
    <t>x</t>
  </si>
  <si>
    <t>*calculator is not robust enough to update all variable values for each input change</t>
  </si>
  <si>
    <t>changes must be made in isolation and then analyzed independently</t>
  </si>
  <si>
    <t>*bond value computed based on blue inputs OR yellow not both</t>
  </si>
  <si>
    <t>2nd order</t>
  </si>
  <si>
    <t>Strike $</t>
  </si>
  <si>
    <t>Breakeven</t>
  </si>
  <si>
    <t>Max Profit</t>
  </si>
  <si>
    <t>Max Loss</t>
  </si>
  <si>
    <t>unlimited</t>
  </si>
  <si>
    <t>Put Strike</t>
  </si>
  <si>
    <t>Call Amount $</t>
  </si>
  <si>
    <t xml:space="preserve">Call Strike </t>
  </si>
  <si>
    <t>Put Amount $</t>
  </si>
  <si>
    <t>Strangle is usually cheaper than straddle because it uses further out of the money options where straddle uses A-T-M</t>
  </si>
  <si>
    <t>Straddle</t>
  </si>
  <si>
    <t>Short Straddle</t>
  </si>
  <si>
    <t>H Call  Strike</t>
  </si>
  <si>
    <t xml:space="preserve">L Call Strike </t>
  </si>
  <si>
    <t xml:space="preserve">L Put Strike </t>
  </si>
  <si>
    <t>H Put Strike</t>
  </si>
  <si>
    <t>Actual Profit/Loss</t>
  </si>
  <si>
    <r>
      <t xml:space="preserve">Sell a Call </t>
    </r>
    <r>
      <rPr>
        <u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 xml:space="preserve"> low strike price &amp; purchase a call </t>
    </r>
    <r>
      <rPr>
        <u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 xml:space="preserve"> high strike price; </t>
    </r>
  </si>
  <si>
    <t>Keep premium from written call, but protected from sharp price increases by the purchased call;</t>
  </si>
  <si>
    <r>
      <t xml:space="preserve">Short a put </t>
    </r>
    <r>
      <rPr>
        <u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 xml:space="preserve"> high strike and long a put w lower strike</t>
    </r>
  </si>
  <si>
    <r>
      <t xml:space="preserve">=-&gt; </t>
    </r>
    <r>
      <rPr>
        <b/>
        <sz val="11"/>
        <color theme="1"/>
        <rFont val="Calibri"/>
        <family val="2"/>
        <scheme val="minor"/>
      </rPr>
      <t>expect large price movement but unsure of direction</t>
    </r>
    <r>
      <rPr>
        <sz val="11"/>
        <color theme="1"/>
        <rFont val="Calibri"/>
        <family val="2"/>
        <scheme val="minor"/>
      </rPr>
      <t>; Lose if it remains unchanged; Breakeven -&gt; moves enough to recoup premiums paid for the Options;</t>
    </r>
  </si>
  <si>
    <r>
      <t xml:space="preserve">Short straddle is opposite (upside down V instead of a V); make money </t>
    </r>
    <r>
      <rPr>
        <u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 xml:space="preserve"> no move and lose when moves; </t>
    </r>
    <r>
      <rPr>
        <b/>
        <sz val="11"/>
        <color theme="1"/>
        <rFont val="Calibri"/>
        <family val="2"/>
        <scheme val="minor"/>
      </rPr>
      <t>expect things to stay very stable</t>
    </r>
  </si>
  <si>
    <t>PV</t>
  </si>
  <si>
    <t>PV+</t>
  </si>
  <si>
    <t>PV-</t>
  </si>
  <si>
    <t>Duration</t>
  </si>
  <si>
    <t>Convexity</t>
  </si>
  <si>
    <r>
      <rPr>
        <sz val="11"/>
        <color theme="1"/>
        <rFont val="Symbol"/>
        <family val="1"/>
        <charset val="2"/>
      </rPr>
      <t xml:space="preserve">D </t>
    </r>
    <r>
      <rPr>
        <sz val="11"/>
        <color theme="1"/>
        <rFont val="Calibri"/>
        <family val="2"/>
      </rPr>
      <t>benchmark curve</t>
    </r>
  </si>
  <si>
    <t>Par Value</t>
  </si>
  <si>
    <t>Coupon Rate</t>
  </si>
  <si>
    <t>Avg Bond Price</t>
  </si>
  <si>
    <t>Price in 1 Year</t>
  </si>
  <si>
    <t>Convexity (Avg)</t>
  </si>
  <si>
    <t>Duration (Avg)</t>
  </si>
  <si>
    <r>
      <rPr>
        <sz val="11"/>
        <color theme="1"/>
        <rFont val="Symbol"/>
        <family val="1"/>
        <charset val="2"/>
      </rPr>
      <t xml:space="preserve">D </t>
    </r>
    <r>
      <rPr>
        <sz val="11"/>
        <color theme="1"/>
        <rFont val="Calibri"/>
        <family val="2"/>
      </rPr>
      <t>benchmark YTM</t>
    </r>
  </si>
  <si>
    <r>
      <rPr>
        <sz val="11"/>
        <color theme="1"/>
        <rFont val="Symbol"/>
        <family val="1"/>
        <charset val="2"/>
      </rPr>
      <t xml:space="preserve">D </t>
    </r>
    <r>
      <rPr>
        <sz val="11"/>
        <color theme="1"/>
        <rFont val="Calibri"/>
        <family val="2"/>
      </rPr>
      <t>spread</t>
    </r>
  </si>
  <si>
    <t>FX changes</t>
  </si>
  <si>
    <t>% of Foreign</t>
  </si>
  <si>
    <t>Total Return</t>
  </si>
  <si>
    <r>
      <t xml:space="preserve">"rolling yield" </t>
    </r>
    <r>
      <rPr>
        <sz val="11"/>
        <color theme="1"/>
        <rFont val="Symbol"/>
        <family val="1"/>
        <charset val="2"/>
      </rPr>
      <t>¯</t>
    </r>
  </si>
  <si>
    <t>return on portfolio</t>
  </si>
  <si>
    <t>return on invested assets</t>
  </si>
  <si>
    <t>borrowing rate paid</t>
  </si>
  <si>
    <t>Amount of Debt</t>
  </si>
  <si>
    <t>Amount of Equity</t>
  </si>
  <si>
    <t>leveraged return</t>
  </si>
  <si>
    <t>Corporate Bond</t>
  </si>
  <si>
    <t>Government Bond</t>
  </si>
  <si>
    <t>Maturity</t>
  </si>
  <si>
    <t>Coupon</t>
  </si>
  <si>
    <t>Yield</t>
  </si>
  <si>
    <t>MD</t>
  </si>
  <si>
    <t>Intrapolate:</t>
  </si>
  <si>
    <t>SWAP Spread (bps)</t>
  </si>
  <si>
    <t>I-spread -&gt; Corp Yield spread based on maturity interpolated SWAP fixed rates.</t>
  </si>
  <si>
    <t xml:space="preserve">Beyond Scope </t>
  </si>
  <si>
    <t>Calc Using Trees</t>
  </si>
  <si>
    <t>Expeted Excess Spread</t>
  </si>
  <si>
    <t>Floating Rate</t>
  </si>
  <si>
    <t>= Market Ref Rate (MRR) + Quoted Margin (QM)</t>
  </si>
  <si>
    <r>
      <t xml:space="preserve">QM is the “quoted Margin” (the + Spread part) and DM is the Discount Margin which </t>
    </r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>’s price due to credit quality changes</t>
    </r>
  </si>
  <si>
    <t xml:space="preserve">If we view the credit losses as both changes in market value due to widening spread (EffSpreadDur × ∆spread) and expected credit losses (POD × LGD), </t>
  </si>
  <si>
    <t>then the annualized excess spread of the manager becomes the following:</t>
  </si>
  <si>
    <t>above</t>
  </si>
  <si>
    <t>here</t>
  </si>
  <si>
    <t>EFF Spread Duration</t>
  </si>
  <si>
    <r>
      <rPr>
        <sz val="11"/>
        <color theme="1"/>
        <rFont val="Symbol"/>
        <family val="1"/>
        <charset val="2"/>
      </rPr>
      <t xml:space="preserve">D </t>
    </r>
    <r>
      <rPr>
        <sz val="11"/>
        <color theme="1"/>
        <rFont val="Calibri"/>
        <family val="2"/>
      </rPr>
      <t>MRR</t>
    </r>
  </si>
  <si>
    <t>LGD</t>
  </si>
  <si>
    <t>POD</t>
  </si>
  <si>
    <t>Spread</t>
  </si>
  <si>
    <t>* if interest rates rise,  traditionally price will fall; however if spread increases due to risk, price can remain same or even rise!</t>
  </si>
  <si>
    <t>IG (investment Grade)</t>
  </si>
  <si>
    <t>HY (High Yield)</t>
  </si>
  <si>
    <t>Bond Coupon</t>
  </si>
  <si>
    <t>EFF Spread Duration CDS</t>
  </si>
  <si>
    <t>CDS Coupon</t>
  </si>
  <si>
    <t xml:space="preserve">CF matching is easiest, with Zero-coupon bond to match liability. </t>
  </si>
  <si>
    <t>Macaulay Duration -&gt; Weighted average TIME to receive cash flows; Balance point at which Price Risk and Reinvestment Risk off-set each other</t>
  </si>
  <si>
    <t>Duration matching is more flexible</t>
  </si>
  <si>
    <t>Most interest rate changes are roughly parallel. Adding some convexity will help</t>
  </si>
  <si>
    <t>Port Weight</t>
  </si>
  <si>
    <t>Port Duration</t>
  </si>
  <si>
    <t>Port Contribution to Duration</t>
  </si>
  <si>
    <t>Government</t>
  </si>
  <si>
    <t>Investment Grade</t>
  </si>
  <si>
    <t>High Yield Junk Bonds</t>
  </si>
  <si>
    <t>Short</t>
  </si>
  <si>
    <t>Medium</t>
  </si>
  <si>
    <t>Long</t>
  </si>
  <si>
    <t>Benchmark Weight</t>
  </si>
  <si>
    <t>Benchmark Duration</t>
  </si>
  <si>
    <t>Bench Contribution to Duration</t>
  </si>
  <si>
    <t>Port Return</t>
  </si>
  <si>
    <t>Port Contribution to Return</t>
  </si>
  <si>
    <t>Bench Contribution to Return</t>
  </si>
  <si>
    <t>Single Liability and Multiple Liabilities</t>
  </si>
  <si>
    <t>Laddered Portfolio has less Convexity than a Barbell Portfolio</t>
  </si>
  <si>
    <t>Stock Price</t>
  </si>
  <si>
    <t>profit/loss</t>
  </si>
  <si>
    <t>Profit/Loss</t>
  </si>
  <si>
    <t>Stock purchase</t>
  </si>
  <si>
    <t>=</t>
  </si>
  <si>
    <t>Dividend Yield</t>
  </si>
  <si>
    <r>
      <t>%DE (</t>
    </r>
    <r>
      <rPr>
        <sz val="11"/>
        <color theme="1"/>
        <rFont val="Calibri"/>
        <family val="2"/>
        <scheme val="minor"/>
      </rPr>
      <t>earnings)</t>
    </r>
  </si>
  <si>
    <r>
      <t>%D</t>
    </r>
    <r>
      <rPr>
        <sz val="11"/>
        <color theme="1"/>
        <rFont val="Calibri"/>
        <family val="2"/>
        <scheme val="minor"/>
      </rPr>
      <t>S (shares outstanding)</t>
    </r>
  </si>
  <si>
    <t>real growth</t>
  </si>
  <si>
    <t>inflation growth</t>
  </si>
  <si>
    <r>
      <t>%D</t>
    </r>
    <r>
      <rPr>
        <sz val="11"/>
        <color theme="1"/>
        <rFont val="Calibri"/>
        <family val="2"/>
        <scheme val="minor"/>
      </rPr>
      <t>P/E (in P/E Ratio)</t>
    </r>
  </si>
  <si>
    <t>Basic CAPM</t>
  </si>
  <si>
    <t>Risk Free Rate</t>
  </si>
  <si>
    <t>Beta of stock</t>
  </si>
  <si>
    <t>Market Rate of Return</t>
  </si>
  <si>
    <t>Required Rate of Return</t>
  </si>
  <si>
    <t>Market A</t>
  </si>
  <si>
    <t>Market B</t>
  </si>
  <si>
    <t>Sharpe Ratio</t>
  </si>
  <si>
    <t>Volatility (Stand Deviation)</t>
  </si>
  <si>
    <t>correlation with global Mkt</t>
  </si>
  <si>
    <t>degree of integration</t>
  </si>
  <si>
    <t>illiquidity premium</t>
  </si>
  <si>
    <t>RFR</t>
  </si>
  <si>
    <t>Sharpe of Global Market</t>
  </si>
  <si>
    <t>Full Segmentation</t>
  </si>
  <si>
    <t>Full Integration</t>
  </si>
  <si>
    <r>
      <t xml:space="preserve">RPi = correlation x </t>
    </r>
    <r>
      <rPr>
        <sz val="11"/>
        <color theme="1"/>
        <rFont val="Symbol"/>
        <family val="1"/>
        <charset val="2"/>
      </rPr>
      <t>s</t>
    </r>
    <r>
      <rPr>
        <sz val="11"/>
        <color theme="1"/>
        <rFont val="Calibri"/>
        <family val="2"/>
        <scheme val="minor"/>
      </rPr>
      <t xml:space="preserve"> x Mkt Sharpe</t>
    </r>
  </si>
  <si>
    <t>RPi = std. dev x Mkt Sharpe</t>
  </si>
  <si>
    <t>Weighted Average</t>
  </si>
  <si>
    <t>add back RFR</t>
  </si>
  <si>
    <t>in times of increasing inflation, cap rates may decline and value estimates rise as NOI and g increase</t>
  </si>
  <si>
    <t>overall interest rates affect R (obviously) so as interest rises R rises and values decline; all about interst vs inflation</t>
  </si>
  <si>
    <t>Mvo=</t>
  </si>
  <si>
    <t>NOI1</t>
  </si>
  <si>
    <t>net operating income</t>
  </si>
  <si>
    <t>r-g</t>
  </si>
  <si>
    <t>Ro</t>
  </si>
  <si>
    <t>market cap rate</t>
  </si>
  <si>
    <t>Net Operating Income</t>
  </si>
  <si>
    <t>Growth Rate</t>
  </si>
  <si>
    <t>Expected Return</t>
  </si>
  <si>
    <t>Rent</t>
  </si>
  <si>
    <t>Expenses:</t>
  </si>
  <si>
    <t>Advertising</t>
  </si>
  <si>
    <t>Insurance</t>
  </si>
  <si>
    <t>Interest</t>
  </si>
  <si>
    <t>Office Expenses</t>
  </si>
  <si>
    <t>Legal; Accounting</t>
  </si>
  <si>
    <t>Maintenance</t>
  </si>
  <si>
    <t>Salaries</t>
  </si>
  <si>
    <t>Property Taxes</t>
  </si>
  <si>
    <t>Travel</t>
  </si>
  <si>
    <t>water/sewer</t>
  </si>
  <si>
    <t>hydro</t>
  </si>
  <si>
    <t>enbridge</t>
  </si>
  <si>
    <t>Other Expenses</t>
  </si>
  <si>
    <t>Total Expenses</t>
  </si>
  <si>
    <t>NOI</t>
  </si>
  <si>
    <t>Income</t>
  </si>
  <si>
    <t>Monthly</t>
  </si>
  <si>
    <t>Yearly</t>
  </si>
  <si>
    <t>Value</t>
  </si>
  <si>
    <t>Management (5% of rent)</t>
  </si>
  <si>
    <t>Current Fed Funds Target Rate High Limit</t>
  </si>
  <si>
    <t>Current Fed Funds Target Rate Low Limit</t>
  </si>
  <si>
    <t>Fed Futures Price</t>
  </si>
  <si>
    <t>Probability Of Increase (BPS)</t>
  </si>
  <si>
    <t>Expected FFE Rate at End</t>
  </si>
  <si>
    <t>Current Target Mid-point</t>
  </si>
  <si>
    <t>% Prob of Rate Change</t>
  </si>
  <si>
    <t>Inferring Market Expectations (using Feds Funds Rate and Futures)</t>
  </si>
  <si>
    <t>Variance SWAPS</t>
  </si>
  <si>
    <t>Original Vega Notional</t>
  </si>
  <si>
    <t>Original Variance Strike</t>
  </si>
  <si>
    <t>Months that have passed</t>
  </si>
  <si>
    <t>Realized Volatility</t>
  </si>
  <si>
    <t>Months Remainins</t>
  </si>
  <si>
    <t>Remain Term Variance Strike</t>
  </si>
  <si>
    <t>interest rate</t>
  </si>
  <si>
    <t>Expected Variance @ Maturity</t>
  </si>
  <si>
    <t>Variance Notional</t>
  </si>
  <si>
    <t>Expected Payoff @ Maturity</t>
  </si>
  <si>
    <r>
      <t xml:space="preserve">discounted to give </t>
    </r>
    <r>
      <rPr>
        <b/>
        <sz val="11"/>
        <color theme="1"/>
        <rFont val="Calibri"/>
        <family val="2"/>
        <scheme val="minor"/>
      </rPr>
      <t>current value</t>
    </r>
  </si>
  <si>
    <t xml:space="preserve">Currency FX </t>
  </si>
  <si>
    <t>Up the Bid and Multiply, Down the Ask and Divide!</t>
  </si>
  <si>
    <t>(remember, nobody wants to hear about "up the assk")</t>
  </si>
  <si>
    <t>Currency Zone 1</t>
  </si>
  <si>
    <t>Currency zone 2</t>
  </si>
  <si>
    <t xml:space="preserve">Asset Return </t>
  </si>
  <si>
    <t xml:space="preserve">change in SPOT </t>
  </si>
  <si>
    <t>currency risk</t>
  </si>
  <si>
    <t>correlation of asset and currency</t>
  </si>
  <si>
    <t>correlation of two currencies</t>
  </si>
  <si>
    <t>Expected Total Return</t>
  </si>
  <si>
    <t>Weight in Portfolio</t>
  </si>
  <si>
    <t>Expected Std. Dev of Locals</t>
  </si>
  <si>
    <t>Std. Dev of Portfolio</t>
  </si>
  <si>
    <t>Exp Return of Portfolio</t>
  </si>
  <si>
    <t>Asset risk in foreign</t>
  </si>
  <si>
    <t>Roll Yield and Hedging Decisions</t>
  </si>
  <si>
    <t>Roll Return = initial forward price - spot price / initial spot price</t>
  </si>
  <si>
    <t>+ive RY encourages hedging; -ive RY discourages hedging</t>
  </si>
  <si>
    <t>Forward Price</t>
  </si>
  <si>
    <t>Spot Price</t>
  </si>
  <si>
    <t>Forecaseted Price at same maturity</t>
  </si>
  <si>
    <t>unhedged forecasted return</t>
  </si>
  <si>
    <t>decision -&gt;</t>
  </si>
  <si>
    <t>currency 1</t>
  </si>
  <si>
    <t>currency 2</t>
  </si>
  <si>
    <t>Currency 3</t>
  </si>
  <si>
    <t>hedged return (roll yield)</t>
  </si>
  <si>
    <t>Reasons to hedge:</t>
  </si>
  <si>
    <t>Short time horizon</t>
  </si>
  <si>
    <t>High risk aversion</t>
  </si>
  <si>
    <t>High short term income and liquidity needs</t>
  </si>
  <si>
    <t>Low hedging costs</t>
  </si>
  <si>
    <t>Doubtful of manager ability for discretionary management</t>
  </si>
  <si>
    <t>From passive to more robust -&gt;</t>
  </si>
  <si>
    <t>Passive hedging</t>
  </si>
  <si>
    <t>Discretionary hedging</t>
  </si>
  <si>
    <t>Active currency management</t>
  </si>
  <si>
    <t>Currency overlay management (treats currency investment as a separate asset class for alpha returns)</t>
  </si>
  <si>
    <r>
      <rPr>
        <b/>
        <u/>
        <sz val="11"/>
        <color theme="1"/>
        <rFont val="Calibri"/>
        <family val="2"/>
        <scheme val="minor"/>
      </rPr>
      <t xml:space="preserve">Significant bond </t>
    </r>
    <r>
      <rPr>
        <sz val="11"/>
        <color theme="1"/>
        <rFont val="Calibri"/>
        <family val="2"/>
        <scheme val="minor"/>
      </rPr>
      <t>exposure</t>
    </r>
  </si>
  <si>
    <t>+ive roll return occurs depends on whether currency is trading at forward premium/discount; and whether purchased or sold</t>
  </si>
  <si>
    <t>Absolute Cost</t>
  </si>
  <si>
    <t>Market Adjusted Cost</t>
  </si>
  <si>
    <t>IS = Paper return – actual return</t>
  </si>
  <si>
    <t># shares x (decision price – execution price)</t>
  </si>
  <si>
    <t>Delay (slippage) -&gt; price move between decision price and order submission</t>
  </si>
  <si>
    <t>Trading cost -&gt; due to market impact of executing trade</t>
  </si>
  <si>
    <t>Opportunity cost -&gt; paper profit on shares not executed</t>
  </si>
  <si>
    <t>Fixed fees -&gt; commissions paid on execution of trade</t>
  </si>
  <si>
    <t>Decision Price</t>
  </si>
  <si>
    <t>Execution Price</t>
  </si>
  <si>
    <t>Fixed Fees</t>
  </si>
  <si>
    <t>Opportunity Cost Unfilled</t>
  </si>
  <si>
    <t># of shares</t>
  </si>
  <si>
    <t># shares unfilled</t>
  </si>
  <si>
    <t>Close Price @ end of day</t>
  </si>
  <si>
    <t>Paper Portfolio Profit</t>
  </si>
  <si>
    <t>Actual Portfolio Profit</t>
  </si>
  <si>
    <t>Commision per share</t>
  </si>
  <si>
    <t>Execution Cost</t>
  </si>
  <si>
    <t>Delay Cost</t>
  </si>
  <si>
    <t>Trading Cost</t>
  </si>
  <si>
    <t>Opportunity Cost</t>
  </si>
  <si>
    <t>Fixed Cost</t>
  </si>
  <si>
    <t>Order Arrival Price</t>
  </si>
  <si>
    <t>Price when trader enters market order</t>
  </si>
  <si>
    <t>BPS</t>
  </si>
  <si>
    <t>Alternative Investments</t>
  </si>
  <si>
    <t>Hedge Fund Strategies:</t>
  </si>
  <si>
    <t>Equity Related:</t>
  </si>
  <si>
    <t>Long / Short: typically net 40-60% long;</t>
  </si>
  <si>
    <t>Short Biased typically still 40-60 net short</t>
  </si>
  <si>
    <t>Event Driven</t>
  </si>
  <si>
    <t>Relative Value</t>
  </si>
  <si>
    <t>Convertible Bond Arbitrage</t>
  </si>
  <si>
    <t>Opportunistic</t>
  </si>
  <si>
    <t>Reinsurance/Life Settlement</t>
  </si>
  <si>
    <t>Multi-Manager</t>
  </si>
  <si>
    <t>Multi-strategy</t>
  </si>
  <si>
    <t>FOF</t>
  </si>
  <si>
    <t>Non-normal returns, serial correlation</t>
  </si>
  <si>
    <t>Appraisals tend to “smooth the data”; needs to be unsmoothed before running MVO</t>
  </si>
  <si>
    <t>MVO would cause over allocation to Alternatives (should be constrained first with a limit set)</t>
  </si>
  <si>
    <t>Dedicated Short is 100% short (little leverage)</t>
  </si>
  <si>
    <t>Market Neutral -&gt; zero Beta; therefore modest returns; low volatility and low leverage</t>
  </si>
  <si>
    <r>
      <t xml:space="preserve">Merger Arbitrage: (long the target and short the acquirer) </t>
    </r>
    <r>
      <rPr>
        <b/>
        <u/>
        <sz val="11"/>
        <color theme="1"/>
        <rFont val="Calibri"/>
        <family val="2"/>
        <scheme val="minor"/>
      </rPr>
      <t>highly levered</t>
    </r>
    <r>
      <rPr>
        <sz val="11"/>
        <color theme="1"/>
        <rFont val="Calibri"/>
        <family val="2"/>
        <scheme val="minor"/>
      </rPr>
      <t>; more liquid</t>
    </r>
  </si>
  <si>
    <t>Distressed Securities: re-structuring; (has long "lock-up"; low leverage)</t>
  </si>
  <si>
    <t>Fixed Income Arbitrage (high levereage, 400% to 1000%)</t>
  </si>
  <si>
    <t>Global Macro: (high leverage)</t>
  </si>
  <si>
    <t>Managed Futures: more liquid; highly levered; could have "crowding"</t>
  </si>
  <si>
    <t>Specialist</t>
  </si>
  <si>
    <t>Volatility Trading</t>
  </si>
  <si>
    <t>Factor Models -&gt; 4 main risk factors are equity risk, currency risk, credit risk, volatility risk (variables that have been removed are interest rate factor and commodity factor)</t>
  </si>
  <si>
    <t>Gold</t>
  </si>
  <si>
    <t>Silver</t>
  </si>
  <si>
    <t>Cattle</t>
  </si>
  <si>
    <t>Oil</t>
  </si>
  <si>
    <t>Potash</t>
  </si>
  <si>
    <t>Wheat</t>
  </si>
  <si>
    <t>Corn</t>
  </si>
  <si>
    <t>Ex</t>
  </si>
  <si>
    <t>US Equities</t>
  </si>
  <si>
    <t>US Bonds</t>
  </si>
  <si>
    <t>Cash</t>
  </si>
  <si>
    <t>Weight</t>
  </si>
  <si>
    <t>Excess Return</t>
  </si>
  <si>
    <t>Beta</t>
  </si>
  <si>
    <t>MCTR</t>
  </si>
  <si>
    <t>ACTR</t>
  </si>
  <si>
    <t>% Contribution to Risk</t>
  </si>
  <si>
    <t>Ratio of Excess Return to MCTR</t>
  </si>
  <si>
    <t>ACTR = weight x MCTR</t>
  </si>
  <si>
    <t>MCTR = beta of asset class x total portfolio risk standard deviation</t>
  </si>
  <si>
    <t>*</t>
  </si>
  <si>
    <r>
      <t>-&gt; *optimal allocation to each asset class occurs when ratio of</t>
    </r>
    <r>
      <rPr>
        <b/>
        <sz val="11"/>
        <color theme="1"/>
        <rFont val="Calibri"/>
        <family val="2"/>
        <scheme val="minor"/>
      </rPr>
      <t xml:space="preserve"> excess return to MCTR</t>
    </r>
    <r>
      <rPr>
        <sz val="11"/>
        <color theme="1"/>
        <rFont val="Calibri"/>
        <family val="2"/>
        <scheme val="minor"/>
      </rPr>
      <t xml:space="preserve"> is equal for all asset classes and is equal to Sharpe Ratio for portfolio</t>
    </r>
  </si>
  <si>
    <t>Fixed Rate Side</t>
  </si>
  <si>
    <t>Variable Rate Side</t>
  </si>
  <si>
    <t>Notional Principal</t>
  </si>
  <si>
    <t>MRR</t>
  </si>
  <si>
    <t>QM</t>
  </si>
  <si>
    <t>SWAP Fixed Rate</t>
  </si>
  <si>
    <t>MRR @ initiation</t>
  </si>
  <si>
    <t>MRR at Payment 2</t>
  </si>
  <si>
    <t>QM (bps)</t>
  </si>
  <si>
    <t>coupon frequency</t>
  </si>
  <si>
    <t>Annual</t>
  </si>
  <si>
    <t>Semi-annual</t>
  </si>
  <si>
    <t>Payer</t>
  </si>
  <si>
    <t>Receiver</t>
  </si>
  <si>
    <t>Payer Payment date 1 (6 months)</t>
  </si>
  <si>
    <t>Payer Payment date 2 (1 year)</t>
  </si>
  <si>
    <t>Payer Payment date 3 (18 months)</t>
  </si>
  <si>
    <t>Payer Payment date (2 year)</t>
  </si>
  <si>
    <t>Net Payment</t>
  </si>
  <si>
    <t>Side of the Fence</t>
  </si>
  <si>
    <t>Box programming, ignore</t>
  </si>
  <si>
    <t>Floating Rate Note (FRN)</t>
  </si>
  <si>
    <t>Payment Amount date 1 (6 months)</t>
  </si>
  <si>
    <t>Payment Amount date 2 (1 year)</t>
  </si>
  <si>
    <t>Payment Amount date 3 (18 months)</t>
  </si>
  <si>
    <t>Payment Amount date (2 year)</t>
  </si>
  <si>
    <t>NPs -&gt; notional swap principal</t>
  </si>
  <si>
    <t>Notional Principal =</t>
  </si>
  <si>
    <t>Long position will receive payment if interest rates in future are higher than fwd rate specified in FRA.</t>
  </si>
  <si>
    <r>
      <rPr>
        <b/>
        <sz val="11"/>
        <color theme="1"/>
        <rFont val="Symbol"/>
        <family val="1"/>
        <charset val="2"/>
      </rPr>
      <t>\</t>
    </r>
    <r>
      <rPr>
        <b/>
        <sz val="11"/>
        <color theme="1"/>
        <rFont val="Calibri"/>
        <family val="2"/>
      </rPr>
      <t xml:space="preserve"> </t>
    </r>
    <r>
      <rPr>
        <sz val="11"/>
        <color theme="1"/>
        <rFont val="Calibri"/>
        <family val="2"/>
        <scheme val="minor"/>
      </rPr>
      <t>Long position wins if rates rise; short wins if rates fall</t>
    </r>
  </si>
  <si>
    <t>Forward Rate</t>
  </si>
  <si>
    <t>Cost of Loan</t>
  </si>
  <si>
    <t>FRA payment (receipt)</t>
  </si>
  <si>
    <t>Net Cost</t>
  </si>
  <si>
    <t>Short Term Interest Rate (STIR) Futures</t>
  </si>
  <si>
    <t>Futures Price is the forward interest rate on deposits starting at expiry of future and lasting 90 days</t>
  </si>
  <si>
    <t>$ based STIR Futures</t>
  </si>
  <si>
    <t>Notional Amount</t>
  </si>
  <si>
    <t>Eurodollar Price (90 day)</t>
  </si>
  <si>
    <t>Profit on Futures</t>
  </si>
  <si>
    <t># of contracts ($1M per contract)</t>
  </si>
  <si>
    <t>total return (locked in)</t>
  </si>
  <si>
    <t>Cheapest to Deliver (CTD) Bond</t>
  </si>
  <si>
    <t>Time to Maturity</t>
  </si>
  <si>
    <t>Bond Price</t>
  </si>
  <si>
    <t>Accrued Interest</t>
  </si>
  <si>
    <t>CF</t>
  </si>
  <si>
    <t>Futures Settlement Price</t>
  </si>
  <si>
    <t>Bond 1</t>
  </si>
  <si>
    <t>Bond 2</t>
  </si>
  <si>
    <t>delivery options @ settlement if not closed prior using offsetting trade</t>
  </si>
  <si>
    <t>Par 100</t>
  </si>
  <si>
    <t>Settlement price per $100K</t>
  </si>
  <si>
    <t>CTD Clean</t>
  </si>
  <si>
    <t>Delivery Loss</t>
  </si>
  <si>
    <t>CTD</t>
  </si>
  <si>
    <t xml:space="preserve">Side of the Fence </t>
  </si>
  <si>
    <t>Cross Currency SWAPS</t>
  </si>
  <si>
    <t>Currency SWAPS -&gt; pay loan domestic + spread; Pay SWAP foreign flat; receive SWAP domestic minus spread</t>
  </si>
  <si>
    <t>*if cost of borrowing synthetically via swap is GREATER than direct USD borrowing, then foreign currency is “negative basis”;</t>
  </si>
  <si>
    <t>Ex. Canadian Firm</t>
  </si>
  <si>
    <t>Notional Amount needed in Foreign USD</t>
  </si>
  <si>
    <t>FX Rate USD / CAD</t>
  </si>
  <si>
    <t>Borrowing USD Directly (QM)</t>
  </si>
  <si>
    <t>Borrowing CAD local (QM)</t>
  </si>
  <si>
    <t xml:space="preserve">SWAP Basis </t>
  </si>
  <si>
    <t>CAD Reference Rate1</t>
  </si>
  <si>
    <t>USD Reference Rate 1</t>
  </si>
  <si>
    <t>CAD Reference Rate 2</t>
  </si>
  <si>
    <t>USD Reference Rate 2</t>
  </si>
  <si>
    <t>FX Rate CAD / USD</t>
  </si>
  <si>
    <t>periods per year</t>
  </si>
  <si>
    <t>SWAP Pay/Receive USD</t>
  </si>
  <si>
    <t>Cost of borrowing direct</t>
  </si>
  <si>
    <t>cost of sythetic borrowing</t>
  </si>
  <si>
    <t>Loan Payment Local 1</t>
  </si>
  <si>
    <t>Loan Pay Local CAD 1</t>
  </si>
  <si>
    <t>SWAP Pay/Receive CAD 1</t>
  </si>
  <si>
    <t>benefit SWAP</t>
  </si>
  <si>
    <t>SWAP Benefit</t>
  </si>
  <si>
    <t>**Rememer -&gt; Forwards are highly customizable and subject to counterparty risk</t>
  </si>
  <si>
    <t>Plain vanilla -&gt; fixed for floating</t>
  </si>
  <si>
    <t>Interest Rate SWAPs (Duration adjust)</t>
  </si>
  <si>
    <t>Portfolio Value</t>
  </si>
  <si>
    <t>Futures Price</t>
  </si>
  <si>
    <t>Futures Contract Size</t>
  </si>
  <si>
    <t>CTD Price</t>
  </si>
  <si>
    <t>CTD CF</t>
  </si>
  <si>
    <t>CTD Modified Duration</t>
  </si>
  <si>
    <t>Portfolio Modified Duration</t>
  </si>
  <si>
    <t>4.75 Coupon, 12 years</t>
  </si>
  <si>
    <t>BPV portfolio =</t>
  </si>
  <si>
    <t>BPV CTD =</t>
  </si>
  <si>
    <t>Target Duration</t>
  </si>
  <si>
    <t>BPV Target =</t>
  </si>
  <si>
    <t>Treasury Futures (Hedging Interest Rate Risk)</t>
  </si>
  <si>
    <t>BT -&gt; Target Beta</t>
  </si>
  <si>
    <t>BP -&gt; current portfolio Beta</t>
  </si>
  <si>
    <t>BF -&gt; Futures Beta</t>
  </si>
  <si>
    <t>Futures Multiplier</t>
  </si>
  <si>
    <t>BPV Hedge Ratio (# futures contracts)</t>
  </si>
  <si>
    <t># of Futures Contracts</t>
  </si>
  <si>
    <t>Equity Futures</t>
  </si>
  <si>
    <r>
      <t xml:space="preserve">*Hedging is not perfect: CTD bond can change w </t>
    </r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 xml:space="preserve">’s in interest rates; duration is not perfect measure of how bonds react to interest rate </t>
    </r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>’s;</t>
    </r>
  </si>
  <si>
    <t>Sell IG CDS protection and buy HY CDS protection</t>
  </si>
  <si>
    <t>Sell HY CDS protection and buy IG CDS protection</t>
  </si>
  <si>
    <t>= CDS Price</t>
  </si>
  <si>
    <t>BF Method</t>
  </si>
  <si>
    <t>Fixed Income Attribution</t>
  </si>
  <si>
    <t>Top 5:</t>
  </si>
  <si>
    <t>natural Gas</t>
  </si>
  <si>
    <t>Soybeans</t>
  </si>
  <si>
    <t>Base Metals</t>
  </si>
  <si>
    <t xml:space="preserve">*remember about roll yield and it's relationship with storability of the commodity. </t>
  </si>
  <si>
    <t xml:space="preserve">Also, understand that agricultural products are driven almost entirely by supply </t>
  </si>
  <si>
    <t>industrials like copper and iron could be better predictors of manufacturing output in economy</t>
  </si>
  <si>
    <t>copper and oil are good leading indicators but also still have some supply side factors that need to be accounted for when analyzing the data</t>
  </si>
  <si>
    <t>VIX ETFs are TVIX and UVXY</t>
  </si>
  <si>
    <t>"Beta" against market</t>
  </si>
  <si>
    <t>silver beta</t>
  </si>
  <si>
    <t>Oil beta</t>
  </si>
  <si>
    <t>Corn beta</t>
  </si>
  <si>
    <t>natural Gas beta</t>
  </si>
  <si>
    <t>Soybeans beta</t>
  </si>
  <si>
    <t>Gold beta</t>
  </si>
  <si>
    <t>Vix Beta</t>
  </si>
  <si>
    <t>UVXY Beta</t>
  </si>
  <si>
    <t>UVXY ETF</t>
  </si>
  <si>
    <t>Biases and Emotions</t>
  </si>
  <si>
    <t>Economic Indicators</t>
  </si>
  <si>
    <t>Business Cycles and Capital Market Expectations</t>
  </si>
  <si>
    <t>Monitary Policy, Fiscal Policy and the Taylor Rule</t>
  </si>
  <si>
    <t>Capital Market Expectations Models</t>
  </si>
  <si>
    <t>Emerging Market Debt</t>
  </si>
  <si>
    <t>Strategic Asset Allocation; Tactical Asset Allocation</t>
  </si>
  <si>
    <t>Option Strategies</t>
  </si>
  <si>
    <t>Options The Greeks</t>
  </si>
  <si>
    <t>Capital Market Expectations</t>
  </si>
  <si>
    <t>Portfolio Management 2</t>
  </si>
  <si>
    <t>Portfolio Management 1</t>
  </si>
  <si>
    <t>SWAPS, Futures and Forwards</t>
  </si>
  <si>
    <t>Fixed Income Valuation</t>
  </si>
  <si>
    <t>FI Deeper Dive</t>
  </si>
  <si>
    <t>Performance Valuation</t>
  </si>
  <si>
    <t>Benchmarks</t>
  </si>
  <si>
    <t>Currency and FX Hedging</t>
  </si>
  <si>
    <t>Trading and Rebalancing</t>
  </si>
  <si>
    <t>Bank Leverage</t>
  </si>
  <si>
    <t>Life Insurance / Annuities</t>
  </si>
  <si>
    <t>Portfolio Management 1a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</si>
</sst>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0.0%"/>
    <numFmt numFmtId="165" formatCode="0.00000%"/>
    <numFmt numFmtId="166" formatCode="0.000000"/>
    <numFmt numFmtId="167" formatCode="0.000"/>
    <numFmt numFmtId="168" formatCode="0.000%"/>
    <numFmt numFmtId="169" formatCode="0.0000%"/>
    <numFmt numFmtId="170" formatCode="_-* #,##0_-;\-* #,##0_-;_-* &quot;-&quot;??_-;_-@_-"/>
    <numFmt numFmtId="171" formatCode="_-* #,##0.0_-;\-* #,##0.0_-;_-* &quot;-&quot;??_-;_-@_-"/>
    <numFmt numFmtId="172" formatCode="_(&quot;$&quot;* #,##0.00_);_(&quot;$&quot;* \(#,##0.00\);_(&quot;$&quot;* &quot;-&quot;??_);_(@_)"/>
    <numFmt numFmtId="173" formatCode="0.0000"/>
    <numFmt numFmtId="174" formatCode="0.0"/>
    <numFmt numFmtId="175" formatCode="0.00000"/>
    <numFmt numFmtId="176" formatCode="_-&quot;$&quot;* #,##0_-;\-&quot;$&quot;* #,##0_-;_-&quot;$&quot;* &quot;-&quot;??_-;_-@_-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Symbol"/>
      <family val="1"/>
      <charset val="2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vertAlign val="subscript"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7"/>
      <color theme="1"/>
      <name val="Times New Roman"/>
      <family val="1"/>
    </font>
    <font>
      <vertAlign val="superscript"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u val="singleAccounting"/>
      <sz val="11"/>
      <color theme="1"/>
      <name val="Calibri"/>
      <family val="2"/>
      <scheme val="minor"/>
    </font>
    <font>
      <b/>
      <sz val="11"/>
      <color theme="1"/>
      <name val="Symbol"/>
      <family val="1"/>
      <charset val="2"/>
    </font>
    <font>
      <b/>
      <sz val="11"/>
      <color theme="1"/>
      <name val="Calibri"/>
      <family val="2"/>
    </font>
    <font>
      <sz val="11"/>
      <color theme="3"/>
      <name val="Calibri"/>
      <family val="2"/>
      <scheme val="minor"/>
    </font>
    <font>
      <sz val="11"/>
      <color theme="3"/>
      <name val="Calibri"/>
      <family val="2"/>
    </font>
    <font>
      <i/>
      <sz val="11"/>
      <color rgb="FFFF33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5FDAD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4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306">
    <xf numFmtId="0" fontId="0" fillId="0" borderId="0" xfId="0"/>
    <xf numFmtId="44" fontId="0" fillId="0" borderId="0" xfId="0" applyNumberFormat="1"/>
    <xf numFmtId="0" fontId="0" fillId="0" borderId="0" xfId="0" applyAlignment="1">
      <alignment horizontal="left"/>
    </xf>
    <xf numFmtId="9" fontId="0" fillId="0" borderId="0" xfId="0" applyNumberFormat="1"/>
    <xf numFmtId="9" fontId="0" fillId="0" borderId="0" xfId="2" applyFont="1"/>
    <xf numFmtId="9" fontId="0" fillId="0" borderId="0" xfId="2" applyFont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0" xfId="0" quotePrefix="1"/>
    <xf numFmtId="0" fontId="0" fillId="0" borderId="0" xfId="0" applyAlignment="1">
      <alignment vertical="center"/>
    </xf>
    <xf numFmtId="0" fontId="0" fillId="0" borderId="0" xfId="0" quotePrefix="1" applyAlignment="1">
      <alignment vertical="center"/>
    </xf>
    <xf numFmtId="0" fontId="3" fillId="0" borderId="0" xfId="0" applyFont="1"/>
    <xf numFmtId="0" fontId="0" fillId="0" borderId="0" xfId="0" applyFont="1"/>
    <xf numFmtId="0" fontId="0" fillId="0" borderId="0" xfId="0" applyAlignment="1">
      <alignment horizontal="left" vertical="center" indent="2"/>
    </xf>
    <xf numFmtId="0" fontId="3" fillId="0" borderId="0" xfId="0" applyFont="1" applyAlignment="1">
      <alignment vertical="center"/>
    </xf>
    <xf numFmtId="0" fontId="0" fillId="0" borderId="5" xfId="0" quotePrefix="1" applyBorder="1"/>
    <xf numFmtId="0" fontId="3" fillId="0" borderId="0" xfId="0" quotePrefix="1" applyFont="1"/>
    <xf numFmtId="164" fontId="3" fillId="0" borderId="0" xfId="2" applyNumberFormat="1" applyFont="1"/>
    <xf numFmtId="0" fontId="5" fillId="0" borderId="0" xfId="0" applyFont="1"/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 indent="6"/>
    </xf>
    <xf numFmtId="0" fontId="0" fillId="0" borderId="1" xfId="0" applyBorder="1"/>
    <xf numFmtId="0" fontId="6" fillId="0" borderId="0" xfId="0" applyFont="1"/>
    <xf numFmtId="0" fontId="0" fillId="0" borderId="0" xfId="0" applyAlignment="1">
      <alignment horizontal="left" vertical="center" indent="5"/>
    </xf>
    <xf numFmtId="0" fontId="0" fillId="0" borderId="0" xfId="0" applyAlignment="1">
      <alignment horizontal="left" vertical="top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0" fillId="0" borderId="12" xfId="0" applyBorder="1"/>
    <xf numFmtId="0" fontId="11" fillId="0" borderId="0" xfId="0" applyFont="1"/>
    <xf numFmtId="0" fontId="11" fillId="0" borderId="0" xfId="0" quotePrefix="1" applyFont="1" applyAlignment="1">
      <alignment vertical="center"/>
    </xf>
    <xf numFmtId="0" fontId="11" fillId="0" borderId="0" xfId="0" quotePrefix="1" applyFont="1"/>
    <xf numFmtId="0" fontId="0" fillId="0" borderId="0" xfId="0" applyAlignment="1">
      <alignment horizontal="left" vertical="center"/>
    </xf>
    <xf numFmtId="0" fontId="14" fillId="0" borderId="0" xfId="3"/>
    <xf numFmtId="0" fontId="0" fillId="0" borderId="0" xfId="0" applyAlignment="1">
      <alignment vertical="center" wrapText="1"/>
    </xf>
    <xf numFmtId="10" fontId="0" fillId="0" borderId="0" xfId="0" applyNumberFormat="1"/>
    <xf numFmtId="0" fontId="0" fillId="0" borderId="0" xfId="0" applyAlignment="1">
      <alignment horizontal="center"/>
    </xf>
    <xf numFmtId="165" fontId="0" fillId="0" borderId="0" xfId="0" applyNumberFormat="1"/>
    <xf numFmtId="9" fontId="0" fillId="0" borderId="14" xfId="2" applyFont="1" applyBorder="1" applyAlignment="1">
      <alignment horizontal="center"/>
    </xf>
    <xf numFmtId="10" fontId="0" fillId="0" borderId="14" xfId="2" applyNumberFormat="1" applyFont="1" applyBorder="1" applyAlignment="1">
      <alignment horizontal="center"/>
    </xf>
    <xf numFmtId="10" fontId="3" fillId="0" borderId="0" xfId="0" applyNumberFormat="1" applyFont="1" applyAlignment="1">
      <alignment horizontal="center"/>
    </xf>
    <xf numFmtId="0" fontId="0" fillId="0" borderId="0" xfId="0" applyFont="1" applyAlignment="1">
      <alignment vertical="center"/>
    </xf>
    <xf numFmtId="9" fontId="0" fillId="0" borderId="1" xfId="2" applyFont="1" applyBorder="1" applyAlignment="1">
      <alignment horizontal="center"/>
    </xf>
    <xf numFmtId="165" fontId="0" fillId="0" borderId="1" xfId="0" applyNumberFormat="1" applyBorder="1"/>
    <xf numFmtId="0" fontId="2" fillId="0" borderId="0" xfId="0" applyFont="1"/>
    <xf numFmtId="0" fontId="0" fillId="0" borderId="14" xfId="0" applyBorder="1"/>
    <xf numFmtId="0" fontId="0" fillId="0" borderId="14" xfId="0" applyFill="1" applyBorder="1"/>
    <xf numFmtId="0" fontId="0" fillId="0" borderId="0" xfId="0" applyFill="1" applyBorder="1"/>
    <xf numFmtId="0" fontId="0" fillId="0" borderId="0" xfId="0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/>
    </xf>
    <xf numFmtId="10" fontId="3" fillId="0" borderId="14" xfId="0" applyNumberFormat="1" applyFont="1" applyFill="1" applyBorder="1" applyAlignment="1">
      <alignment horizontal="center"/>
    </xf>
    <xf numFmtId="10" fontId="15" fillId="3" borderId="14" xfId="2" applyNumberFormat="1" applyFont="1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0" borderId="14" xfId="0" applyFill="1" applyBorder="1" applyAlignment="1">
      <alignment horizontal="center" vertical="center"/>
    </xf>
    <xf numFmtId="2" fontId="0" fillId="0" borderId="14" xfId="0" applyNumberForma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2" fontId="3" fillId="0" borderId="14" xfId="0" applyNumberFormat="1" applyFont="1" applyFill="1" applyBorder="1" applyAlignment="1">
      <alignment horizontal="center" vertical="center"/>
    </xf>
    <xf numFmtId="0" fontId="0" fillId="0" borderId="0" xfId="0" applyFill="1"/>
    <xf numFmtId="0" fontId="3" fillId="0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168" fontId="0" fillId="0" borderId="0" xfId="2" applyNumberFormat="1" applyFont="1"/>
    <xf numFmtId="0" fontId="0" fillId="0" borderId="1" xfId="0" applyFill="1" applyBorder="1"/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10" fontId="0" fillId="3" borderId="14" xfId="2" applyNumberFormat="1" applyFont="1" applyFill="1" applyBorder="1" applyAlignment="1">
      <alignment horizontal="center"/>
    </xf>
    <xf numFmtId="10" fontId="0" fillId="0" borderId="0" xfId="2" applyNumberFormat="1" applyFont="1"/>
    <xf numFmtId="0" fontId="0" fillId="3" borderId="0" xfId="0" applyFill="1" applyAlignment="1">
      <alignment horizontal="center"/>
    </xf>
    <xf numFmtId="0" fontId="2" fillId="0" borderId="0" xfId="0" applyFont="1" applyFill="1"/>
    <xf numFmtId="43" fontId="0" fillId="0" borderId="0" xfId="4" applyFont="1"/>
    <xf numFmtId="43" fontId="0" fillId="0" borderId="0" xfId="4" applyNumberFormat="1" applyFont="1" applyAlignment="1">
      <alignment horizontal="center"/>
    </xf>
    <xf numFmtId="43" fontId="0" fillId="0" borderId="0" xfId="0" applyNumberFormat="1"/>
    <xf numFmtId="0" fontId="0" fillId="0" borderId="23" xfId="0" applyBorder="1" applyAlignment="1">
      <alignment horizontal="center"/>
    </xf>
    <xf numFmtId="10" fontId="0" fillId="0" borderId="0" xfId="2" applyNumberFormat="1" applyFont="1" applyAlignment="1">
      <alignment horizontal="center"/>
    </xf>
    <xf numFmtId="10" fontId="0" fillId="0" borderId="1" xfId="2" applyNumberFormat="1" applyFont="1" applyBorder="1" applyAlignment="1">
      <alignment horizontal="center"/>
    </xf>
    <xf numFmtId="44" fontId="1" fillId="0" borderId="0" xfId="1" applyFont="1" applyFill="1" applyAlignment="1">
      <alignment horizontal="center"/>
    </xf>
    <xf numFmtId="0" fontId="0" fillId="3" borderId="0" xfId="0" applyFill="1" applyAlignment="1">
      <alignment horizontal="center" vertical="center"/>
    </xf>
    <xf numFmtId="0" fontId="3" fillId="0" borderId="25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4" fillId="0" borderId="14" xfId="0" applyFont="1" applyBorder="1" applyAlignment="1">
      <alignment horizontal="center"/>
    </xf>
    <xf numFmtId="164" fontId="0" fillId="3" borderId="0" xfId="2" applyNumberFormat="1" applyFont="1" applyFill="1" applyAlignment="1">
      <alignment horizontal="center"/>
    </xf>
    <xf numFmtId="168" fontId="0" fillId="0" borderId="1" xfId="2" applyNumberFormat="1" applyFont="1" applyBorder="1" applyAlignment="1">
      <alignment horizontal="center"/>
    </xf>
    <xf numFmtId="10" fontId="0" fillId="0" borderId="26" xfId="0" applyNumberFormat="1" applyBorder="1" applyAlignment="1">
      <alignment horizontal="center"/>
    </xf>
    <xf numFmtId="10" fontId="0" fillId="0" borderId="27" xfId="0" applyNumberFormat="1" applyBorder="1" applyAlignment="1">
      <alignment horizontal="center"/>
    </xf>
    <xf numFmtId="10" fontId="3" fillId="0" borderId="8" xfId="0" applyNumberFormat="1" applyFont="1" applyBorder="1" applyAlignment="1">
      <alignment horizontal="center"/>
    </xf>
    <xf numFmtId="10" fontId="3" fillId="0" borderId="9" xfId="0" applyNumberFormat="1" applyFont="1" applyBorder="1" applyAlignment="1">
      <alignment horizontal="center"/>
    </xf>
    <xf numFmtId="0" fontId="0" fillId="0" borderId="0" xfId="0" quotePrefix="1" applyFill="1" applyBorder="1"/>
    <xf numFmtId="0" fontId="6" fillId="0" borderId="0" xfId="0" applyFont="1" applyFill="1" applyBorder="1"/>
    <xf numFmtId="0" fontId="6" fillId="0" borderId="0" xfId="0" applyFont="1" applyFill="1" applyBorder="1" applyAlignment="1">
      <alignment horizontal="right"/>
    </xf>
    <xf numFmtId="0" fontId="16" fillId="0" borderId="0" xfId="0" applyFont="1"/>
    <xf numFmtId="169" fontId="0" fillId="0" borderId="0" xfId="2" applyNumberFormat="1" applyFont="1"/>
    <xf numFmtId="0" fontId="3" fillId="0" borderId="12" xfId="0" applyFont="1" applyBorder="1"/>
    <xf numFmtId="9" fontId="3" fillId="0" borderId="13" xfId="0" applyNumberFormat="1" applyFont="1" applyBorder="1"/>
    <xf numFmtId="0" fontId="3" fillId="0" borderId="4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44" fontId="3" fillId="0" borderId="6" xfId="1" applyFont="1" applyBorder="1" applyAlignment="1">
      <alignment horizontal="center"/>
    </xf>
    <xf numFmtId="44" fontId="3" fillId="0" borderId="9" xfId="1" applyFont="1" applyBorder="1" applyAlignment="1">
      <alignment horizontal="center"/>
    </xf>
    <xf numFmtId="0" fontId="3" fillId="0" borderId="2" xfId="0" applyFont="1" applyBorder="1"/>
    <xf numFmtId="0" fontId="3" fillId="0" borderId="5" xfId="0" applyFont="1" applyBorder="1"/>
    <xf numFmtId="0" fontId="3" fillId="0" borderId="7" xfId="0" applyFont="1" applyBorder="1"/>
    <xf numFmtId="0" fontId="5" fillId="0" borderId="9" xfId="0" applyFont="1" applyBorder="1" applyAlignment="1">
      <alignment horizontal="center"/>
    </xf>
    <xf numFmtId="44" fontId="0" fillId="3" borderId="14" xfId="1" applyFont="1" applyFill="1" applyBorder="1" applyAlignment="1">
      <alignment horizontal="center"/>
    </xf>
    <xf numFmtId="0" fontId="5" fillId="0" borderId="0" xfId="0" applyFont="1" applyFill="1"/>
    <xf numFmtId="0" fontId="0" fillId="0" borderId="5" xfId="0" applyBorder="1" applyAlignment="1">
      <alignment horizontal="center"/>
    </xf>
    <xf numFmtId="0" fontId="0" fillId="0" borderId="6" xfId="0" applyFill="1" applyBorder="1"/>
    <xf numFmtId="0" fontId="0" fillId="0" borderId="5" xfId="0" applyBorder="1" applyAlignment="1">
      <alignment vertical="center"/>
    </xf>
    <xf numFmtId="0" fontId="3" fillId="0" borderId="2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3" fillId="0" borderId="6" xfId="0" applyFont="1" applyBorder="1"/>
    <xf numFmtId="0" fontId="0" fillId="0" borderId="5" xfId="0" applyBorder="1" applyAlignment="1">
      <alignment horizontal="right"/>
    </xf>
    <xf numFmtId="0" fontId="5" fillId="0" borderId="0" xfId="0" applyFont="1" applyAlignment="1">
      <alignment vertical="center"/>
    </xf>
    <xf numFmtId="2" fontId="0" fillId="0" borderId="0" xfId="2" applyNumberFormat="1" applyFont="1"/>
    <xf numFmtId="0" fontId="3" fillId="0" borderId="16" xfId="0" applyFont="1" applyBorder="1"/>
    <xf numFmtId="0" fontId="0" fillId="0" borderId="17" xfId="0" applyBorder="1"/>
    <xf numFmtId="0" fontId="0" fillId="2" borderId="0" xfId="0" applyFill="1"/>
    <xf numFmtId="0" fontId="10" fillId="0" borderId="0" xfId="0" applyFont="1" applyAlignment="1">
      <alignment horizontal="center"/>
    </xf>
    <xf numFmtId="0" fontId="3" fillId="0" borderId="0" xfId="0" applyFont="1" applyBorder="1"/>
    <xf numFmtId="0" fontId="5" fillId="0" borderId="0" xfId="0" applyFont="1" applyBorder="1"/>
    <xf numFmtId="43" fontId="0" fillId="3" borderId="14" xfId="4" applyFont="1" applyFill="1" applyBorder="1" applyAlignment="1">
      <alignment horizontal="center"/>
    </xf>
    <xf numFmtId="0" fontId="10" fillId="0" borderId="0" xfId="0" applyFont="1"/>
    <xf numFmtId="44" fontId="3" fillId="0" borderId="13" xfId="1" applyFont="1" applyFill="1" applyBorder="1"/>
    <xf numFmtId="44" fontId="3" fillId="0" borderId="0" xfId="1" applyFont="1"/>
    <xf numFmtId="43" fontId="3" fillId="0" borderId="0" xfId="0" applyNumberFormat="1" applyFont="1"/>
    <xf numFmtId="0" fontId="3" fillId="0" borderId="0" xfId="0" applyFont="1" applyFill="1"/>
    <xf numFmtId="43" fontId="0" fillId="0" borderId="14" xfId="4" applyFont="1" applyBorder="1" applyAlignment="1">
      <alignment horizontal="center"/>
    </xf>
    <xf numFmtId="44" fontId="3" fillId="0" borderId="0" xfId="1" applyFont="1" applyBorder="1"/>
    <xf numFmtId="0" fontId="0" fillId="0" borderId="8" xfId="0" applyBorder="1" applyAlignment="1">
      <alignment horizontal="center"/>
    </xf>
    <xf numFmtId="44" fontId="3" fillId="0" borderId="0" xfId="0" applyNumberFormat="1" applyFont="1" applyAlignment="1">
      <alignment horizontal="center"/>
    </xf>
    <xf numFmtId="175" fontId="3" fillId="0" borderId="0" xfId="0" applyNumberFormat="1" applyFont="1" applyAlignment="1">
      <alignment horizontal="center"/>
    </xf>
    <xf numFmtId="176" fontId="3" fillId="0" borderId="0" xfId="1" applyNumberFormat="1" applyFont="1"/>
    <xf numFmtId="43" fontId="3" fillId="0" borderId="0" xfId="4" applyFont="1"/>
    <xf numFmtId="43" fontId="3" fillId="0" borderId="1" xfId="4" applyFont="1" applyBorder="1"/>
    <xf numFmtId="176" fontId="0" fillId="3" borderId="14" xfId="1" applyNumberFormat="1" applyFont="1" applyFill="1" applyBorder="1" applyAlignment="1">
      <alignment horizontal="center"/>
    </xf>
    <xf numFmtId="176" fontId="3" fillId="0" borderId="4" xfId="1" applyNumberFormat="1" applyFont="1" applyBorder="1" applyAlignment="1">
      <alignment horizontal="center"/>
    </xf>
    <xf numFmtId="176" fontId="3" fillId="0" borderId="6" xfId="1" applyNumberFormat="1" applyFont="1" applyBorder="1" applyAlignment="1">
      <alignment horizontal="center"/>
    </xf>
    <xf numFmtId="44" fontId="0" fillId="0" borderId="29" xfId="0" applyNumberFormat="1" applyBorder="1" applyAlignment="1">
      <alignment horizontal="center"/>
    </xf>
    <xf numFmtId="0" fontId="0" fillId="3" borderId="30" xfId="0" applyFill="1" applyBorder="1" applyAlignment="1">
      <alignment horizontal="center"/>
    </xf>
    <xf numFmtId="44" fontId="0" fillId="3" borderId="31" xfId="1" applyFont="1" applyFill="1" applyBorder="1" applyAlignment="1">
      <alignment horizontal="center"/>
    </xf>
    <xf numFmtId="0" fontId="0" fillId="0" borderId="8" xfId="0" applyFill="1" applyBorder="1"/>
    <xf numFmtId="1" fontId="3" fillId="0" borderId="6" xfId="0" applyNumberFormat="1" applyFont="1" applyBorder="1" applyAlignment="1">
      <alignment horizontal="center"/>
    </xf>
    <xf numFmtId="170" fontId="3" fillId="0" borderId="4" xfId="4" applyNumberFormat="1" applyFont="1" applyFill="1" applyBorder="1" applyAlignment="1">
      <alignment horizontal="center"/>
    </xf>
    <xf numFmtId="164" fontId="0" fillId="0" borderId="2" xfId="2" applyNumberFormat="1" applyFont="1" applyBorder="1" applyAlignment="1">
      <alignment horizontal="center"/>
    </xf>
    <xf numFmtId="0" fontId="0" fillId="0" borderId="3" xfId="0" applyBorder="1" applyAlignment="1">
      <alignment vertical="center"/>
    </xf>
    <xf numFmtId="164" fontId="0" fillId="0" borderId="7" xfId="2" applyNumberFormat="1" applyFont="1" applyBorder="1" applyAlignment="1">
      <alignment horizontal="center"/>
    </xf>
    <xf numFmtId="0" fontId="0" fillId="0" borderId="8" xfId="0" applyBorder="1" applyAlignment="1">
      <alignment vertical="center"/>
    </xf>
    <xf numFmtId="9" fontId="0" fillId="0" borderId="5" xfId="2" applyFont="1" applyBorder="1" applyAlignment="1">
      <alignment horizontal="center"/>
    </xf>
    <xf numFmtId="0" fontId="0" fillId="0" borderId="0" xfId="0" applyBorder="1" applyAlignment="1">
      <alignment horizontal="center"/>
    </xf>
    <xf numFmtId="164" fontId="19" fillId="3" borderId="10" xfId="2" applyNumberFormat="1" applyFont="1" applyFill="1" applyBorder="1" applyAlignment="1">
      <alignment horizontal="center"/>
    </xf>
    <xf numFmtId="164" fontId="19" fillId="3" borderId="11" xfId="2" applyNumberFormat="1" applyFont="1" applyFill="1" applyBorder="1" applyAlignment="1">
      <alignment horizontal="center"/>
    </xf>
    <xf numFmtId="10" fontId="19" fillId="3" borderId="16" xfId="2" applyNumberFormat="1" applyFont="1" applyFill="1" applyBorder="1" applyAlignment="1">
      <alignment horizontal="center"/>
    </xf>
    <xf numFmtId="0" fontId="19" fillId="0" borderId="25" xfId="0" applyFont="1" applyBorder="1" applyAlignment="1">
      <alignment horizontal="center"/>
    </xf>
    <xf numFmtId="10" fontId="19" fillId="3" borderId="25" xfId="2" applyNumberFormat="1" applyFont="1" applyFill="1" applyBorder="1" applyAlignment="1">
      <alignment horizontal="center"/>
    </xf>
    <xf numFmtId="10" fontId="19" fillId="3" borderId="17" xfId="2" applyNumberFormat="1" applyFont="1" applyFill="1" applyBorder="1" applyAlignment="1">
      <alignment horizontal="center"/>
    </xf>
    <xf numFmtId="10" fontId="0" fillId="4" borderId="15" xfId="2" applyNumberFormat="1" applyFont="1" applyFill="1" applyBorder="1" applyAlignment="1">
      <alignment horizontal="center"/>
    </xf>
    <xf numFmtId="10" fontId="19" fillId="3" borderId="14" xfId="2" applyNumberFormat="1" applyFont="1" applyFill="1" applyBorder="1" applyAlignment="1">
      <alignment horizontal="center"/>
    </xf>
    <xf numFmtId="10" fontId="5" fillId="4" borderId="15" xfId="0" applyNumberFormat="1" applyFont="1" applyFill="1" applyBorder="1" applyAlignment="1">
      <alignment horizontal="center"/>
    </xf>
    <xf numFmtId="10" fontId="3" fillId="4" borderId="16" xfId="0" applyNumberFormat="1" applyFont="1" applyFill="1" applyBorder="1" applyAlignment="1">
      <alignment horizontal="center"/>
    </xf>
    <xf numFmtId="10" fontId="3" fillId="4" borderId="25" xfId="0" applyNumberFormat="1" applyFont="1" applyFill="1" applyBorder="1" applyAlignment="1">
      <alignment horizontal="center"/>
    </xf>
    <xf numFmtId="10" fontId="3" fillId="4" borderId="17" xfId="0" applyNumberFormat="1" applyFont="1" applyFill="1" applyBorder="1" applyAlignment="1">
      <alignment horizontal="center"/>
    </xf>
    <xf numFmtId="10" fontId="3" fillId="4" borderId="15" xfId="2" applyNumberFormat="1" applyFont="1" applyFill="1" applyBorder="1" applyAlignment="1">
      <alignment horizontal="center"/>
    </xf>
    <xf numFmtId="0" fontId="19" fillId="3" borderId="14" xfId="0" applyFont="1" applyFill="1" applyBorder="1" applyAlignment="1">
      <alignment horizontal="center"/>
    </xf>
    <xf numFmtId="0" fontId="19" fillId="3" borderId="14" xfId="4" applyNumberFormat="1" applyFont="1" applyFill="1" applyBorder="1" applyAlignment="1">
      <alignment horizontal="center"/>
    </xf>
    <xf numFmtId="2" fontId="19" fillId="3" borderId="14" xfId="4" applyNumberFormat="1" applyFont="1" applyFill="1" applyBorder="1" applyAlignment="1">
      <alignment horizontal="center"/>
    </xf>
    <xf numFmtId="9" fontId="19" fillId="3" borderId="14" xfId="2" applyFont="1" applyFill="1" applyBorder="1" applyAlignment="1">
      <alignment horizontal="center"/>
    </xf>
    <xf numFmtId="164" fontId="19" fillId="3" borderId="14" xfId="2" applyNumberFormat="1" applyFont="1" applyFill="1" applyBorder="1" applyAlignment="1">
      <alignment horizontal="center"/>
    </xf>
    <xf numFmtId="164" fontId="19" fillId="3" borderId="14" xfId="2" applyNumberFormat="1" applyFont="1" applyFill="1" applyBorder="1"/>
    <xf numFmtId="0" fontId="19" fillId="3" borderId="14" xfId="2" applyNumberFormat="1" applyFont="1" applyFill="1" applyBorder="1"/>
    <xf numFmtId="164" fontId="19" fillId="3" borderId="4" xfId="2" applyNumberFormat="1" applyFont="1" applyFill="1" applyBorder="1" applyAlignment="1">
      <alignment horizontal="center"/>
    </xf>
    <xf numFmtId="172" fontId="20" fillId="3" borderId="0" xfId="1" applyNumberFormat="1" applyFont="1" applyFill="1" applyBorder="1" applyAlignment="1">
      <alignment horizontal="center"/>
    </xf>
    <xf numFmtId="172" fontId="20" fillId="3" borderId="1" xfId="1" applyNumberFormat="1" applyFont="1" applyFill="1" applyBorder="1" applyAlignment="1">
      <alignment horizontal="center"/>
    </xf>
    <xf numFmtId="0" fontId="19" fillId="3" borderId="0" xfId="0" applyFont="1" applyFill="1"/>
    <xf numFmtId="9" fontId="3" fillId="4" borderId="13" xfId="0" applyNumberFormat="1" applyFont="1" applyFill="1" applyBorder="1"/>
    <xf numFmtId="169" fontId="0" fillId="4" borderId="0" xfId="2" applyNumberFormat="1" applyFont="1" applyFill="1"/>
    <xf numFmtId="168" fontId="0" fillId="4" borderId="0" xfId="2" applyNumberFormat="1" applyFont="1" applyFill="1"/>
    <xf numFmtId="44" fontId="16" fillId="4" borderId="9" xfId="0" applyNumberFormat="1" applyFont="1" applyFill="1" applyBorder="1"/>
    <xf numFmtId="44" fontId="0" fillId="4" borderId="6" xfId="0" applyNumberFormat="1" applyFill="1" applyBorder="1"/>
    <xf numFmtId="172" fontId="0" fillId="4" borderId="1" xfId="0" applyNumberFormat="1" applyFill="1" applyBorder="1"/>
    <xf numFmtId="44" fontId="0" fillId="4" borderId="1" xfId="0" applyNumberFormat="1" applyFill="1" applyBorder="1"/>
    <xf numFmtId="44" fontId="16" fillId="4" borderId="0" xfId="0" applyNumberFormat="1" applyFont="1" applyFill="1"/>
    <xf numFmtId="9" fontId="19" fillId="3" borderId="14" xfId="2" applyFont="1" applyFill="1" applyBorder="1"/>
    <xf numFmtId="10" fontId="19" fillId="3" borderId="14" xfId="2" applyNumberFormat="1" applyFont="1" applyFill="1" applyBorder="1"/>
    <xf numFmtId="0" fontId="19" fillId="3" borderId="14" xfId="0" applyFont="1" applyFill="1" applyBorder="1"/>
    <xf numFmtId="9" fontId="0" fillId="4" borderId="14" xfId="2" applyFont="1" applyFill="1" applyBorder="1" applyAlignment="1">
      <alignment horizontal="center"/>
    </xf>
    <xf numFmtId="167" fontId="3" fillId="4" borderId="25" xfId="0" applyNumberFormat="1" applyFont="1" applyFill="1" applyBorder="1" applyAlignment="1">
      <alignment horizontal="center"/>
    </xf>
    <xf numFmtId="10" fontId="0" fillId="4" borderId="0" xfId="2" applyNumberFormat="1" applyFont="1" applyFill="1"/>
    <xf numFmtId="10" fontId="0" fillId="4" borderId="1" xfId="2" applyNumberFormat="1" applyFont="1" applyFill="1" applyBorder="1"/>
    <xf numFmtId="0" fontId="0" fillId="4" borderId="14" xfId="0" applyFill="1" applyBorder="1" applyAlignment="1">
      <alignment horizontal="center"/>
    </xf>
    <xf numFmtId="10" fontId="0" fillId="4" borderId="14" xfId="2" applyNumberFormat="1" applyFont="1" applyFill="1" applyBorder="1" applyAlignment="1">
      <alignment horizontal="center"/>
    </xf>
    <xf numFmtId="0" fontId="3" fillId="4" borderId="0" xfId="0" applyFont="1" applyFill="1" applyAlignment="1">
      <alignment horizontal="center"/>
    </xf>
    <xf numFmtId="0" fontId="19" fillId="3" borderId="0" xfId="0" applyFont="1" applyFill="1" applyAlignment="1">
      <alignment horizontal="center" vertical="center"/>
    </xf>
    <xf numFmtId="44" fontId="3" fillId="4" borderId="0" xfId="1" applyFont="1" applyFill="1" applyAlignment="1">
      <alignment horizontal="center"/>
    </xf>
    <xf numFmtId="44" fontId="16" fillId="4" borderId="0" xfId="1" applyFont="1" applyFill="1" applyAlignment="1">
      <alignment horizontal="center"/>
    </xf>
    <xf numFmtId="0" fontId="3" fillId="4" borderId="14" xfId="0" applyFont="1" applyFill="1" applyBorder="1" applyAlignment="1">
      <alignment horizontal="center"/>
    </xf>
    <xf numFmtId="44" fontId="3" fillId="4" borderId="14" xfId="0" applyNumberFormat="1" applyFont="1" applyFill="1" applyBorder="1" applyAlignment="1">
      <alignment horizontal="center"/>
    </xf>
    <xf numFmtId="10" fontId="3" fillId="4" borderId="14" xfId="0" applyNumberFormat="1" applyFont="1" applyFill="1" applyBorder="1" applyAlignment="1">
      <alignment horizontal="center"/>
    </xf>
    <xf numFmtId="44" fontId="19" fillId="3" borderId="14" xfId="1" applyFont="1" applyFill="1" applyBorder="1" applyAlignment="1">
      <alignment horizontal="center"/>
    </xf>
    <xf numFmtId="43" fontId="0" fillId="3" borderId="14" xfId="4" applyFont="1" applyFill="1" applyBorder="1" applyAlignment="1"/>
    <xf numFmtId="44" fontId="0" fillId="4" borderId="0" xfId="0" applyNumberFormat="1" applyFill="1"/>
    <xf numFmtId="44" fontId="0" fillId="4" borderId="0" xfId="1" applyFont="1" applyFill="1"/>
    <xf numFmtId="44" fontId="0" fillId="4" borderId="1" xfId="1" applyFont="1" applyFill="1" applyBorder="1"/>
    <xf numFmtId="44" fontId="16" fillId="4" borderId="0" xfId="0" applyNumberFormat="1" applyFont="1" applyFill="1" applyBorder="1"/>
    <xf numFmtId="2" fontId="3" fillId="4" borderId="3" xfId="0" applyNumberFormat="1" applyFont="1" applyFill="1" applyBorder="1"/>
    <xf numFmtId="2" fontId="3" fillId="4" borderId="4" xfId="0" applyNumberFormat="1" applyFont="1" applyFill="1" applyBorder="1"/>
    <xf numFmtId="44" fontId="3" fillId="4" borderId="0" xfId="1" applyFont="1" applyFill="1" applyBorder="1"/>
    <xf numFmtId="44" fontId="3" fillId="4" borderId="6" xfId="1" applyFont="1" applyFill="1" applyBorder="1"/>
    <xf numFmtId="44" fontId="3" fillId="4" borderId="1" xfId="1" applyFont="1" applyFill="1" applyBorder="1"/>
    <xf numFmtId="44" fontId="3" fillId="4" borderId="28" xfId="1" applyFont="1" applyFill="1" applyBorder="1"/>
    <xf numFmtId="44" fontId="16" fillId="4" borderId="6" xfId="0" applyNumberFormat="1" applyFont="1" applyFill="1" applyBorder="1"/>
    <xf numFmtId="44" fontId="3" fillId="4" borderId="4" xfId="1" applyFont="1" applyFill="1" applyBorder="1"/>
    <xf numFmtId="43" fontId="3" fillId="4" borderId="28" xfId="0" applyNumberFormat="1" applyFont="1" applyFill="1" applyBorder="1"/>
    <xf numFmtId="43" fontId="3" fillId="4" borderId="14" xfId="4" applyFont="1" applyFill="1" applyBorder="1"/>
    <xf numFmtId="0" fontId="19" fillId="3" borderId="14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167" fontId="19" fillId="3" borderId="14" xfId="0" applyNumberFormat="1" applyFont="1" applyFill="1" applyBorder="1" applyAlignment="1">
      <alignment horizontal="center"/>
    </xf>
    <xf numFmtId="168" fontId="19" fillId="3" borderId="14" xfId="2" applyNumberFormat="1" applyFont="1" applyFill="1" applyBorder="1" applyAlignment="1">
      <alignment horizontal="center"/>
    </xf>
    <xf numFmtId="9" fontId="19" fillId="3" borderId="14" xfId="2" applyNumberFormat="1" applyFont="1" applyFill="1" applyBorder="1" applyAlignment="1">
      <alignment horizontal="center"/>
    </xf>
    <xf numFmtId="168" fontId="5" fillId="4" borderId="15" xfId="0" applyNumberFormat="1" applyFont="1" applyFill="1" applyBorder="1"/>
    <xf numFmtId="168" fontId="0" fillId="4" borderId="1" xfId="0" applyNumberFormat="1" applyFill="1" applyBorder="1"/>
    <xf numFmtId="168" fontId="0" fillId="4" borderId="0" xfId="2" applyNumberFormat="1" applyFont="1" applyFill="1" applyAlignment="1">
      <alignment horizontal="center"/>
    </xf>
    <xf numFmtId="168" fontId="0" fillId="4" borderId="0" xfId="2" applyNumberFormat="1" applyFont="1" applyFill="1" applyBorder="1" applyAlignment="1">
      <alignment horizontal="center"/>
    </xf>
    <xf numFmtId="168" fontId="0" fillId="4" borderId="1" xfId="0" applyNumberFormat="1" applyFill="1" applyBorder="1" applyAlignment="1">
      <alignment horizontal="center"/>
    </xf>
    <xf numFmtId="170" fontId="19" fillId="3" borderId="14" xfId="4" applyNumberFormat="1" applyFont="1" applyFill="1" applyBorder="1"/>
    <xf numFmtId="9" fontId="0" fillId="4" borderId="16" xfId="2" applyFont="1" applyFill="1" applyBorder="1" applyAlignment="1">
      <alignment horizontal="center"/>
    </xf>
    <xf numFmtId="9" fontId="0" fillId="4" borderId="17" xfId="2" applyFont="1" applyFill="1" applyBorder="1" applyAlignment="1">
      <alignment horizontal="center"/>
    </xf>
    <xf numFmtId="164" fontId="3" fillId="4" borderId="0" xfId="0" applyNumberFormat="1" applyFont="1" applyFill="1" applyAlignment="1">
      <alignment horizontal="center"/>
    </xf>
    <xf numFmtId="168" fontId="3" fillId="4" borderId="0" xfId="2" applyNumberFormat="1" applyFont="1" applyFill="1" applyAlignment="1">
      <alignment horizontal="center"/>
    </xf>
    <xf numFmtId="10" fontId="3" fillId="4" borderId="0" xfId="2" applyNumberFormat="1" applyFont="1" applyFill="1" applyAlignment="1">
      <alignment horizontal="center"/>
    </xf>
    <xf numFmtId="0" fontId="3" fillId="4" borderId="14" xfId="0" applyFont="1" applyFill="1" applyBorder="1" applyAlignment="1">
      <alignment horizontal="center" vertical="center"/>
    </xf>
    <xf numFmtId="0" fontId="5" fillId="4" borderId="0" xfId="0" applyFont="1" applyFill="1"/>
    <xf numFmtId="9" fontId="19" fillId="3" borderId="14" xfId="2" applyFont="1" applyFill="1" applyBorder="1" applyAlignment="1">
      <alignment horizontal="center" vertical="center"/>
    </xf>
    <xf numFmtId="9" fontId="19" fillId="3" borderId="17" xfId="2" applyFont="1" applyFill="1" applyBorder="1" applyAlignment="1">
      <alignment horizontal="center" vertical="center"/>
    </xf>
    <xf numFmtId="9" fontId="19" fillId="3" borderId="30" xfId="2" applyFont="1" applyFill="1" applyBorder="1" applyAlignment="1">
      <alignment horizontal="center"/>
    </xf>
    <xf numFmtId="0" fontId="19" fillId="3" borderId="31" xfId="0" applyFont="1" applyFill="1" applyBorder="1" applyAlignment="1">
      <alignment horizontal="center"/>
    </xf>
    <xf numFmtId="2" fontId="3" fillId="4" borderId="0" xfId="0" applyNumberFormat="1" applyFont="1" applyFill="1" applyAlignment="1">
      <alignment horizontal="center"/>
    </xf>
    <xf numFmtId="9" fontId="19" fillId="3" borderId="0" xfId="2" applyFont="1" applyFill="1" applyAlignment="1">
      <alignment horizontal="center"/>
    </xf>
    <xf numFmtId="165" fontId="0" fillId="4" borderId="0" xfId="0" applyNumberFormat="1" applyFill="1"/>
    <xf numFmtId="10" fontId="0" fillId="4" borderId="0" xfId="0" applyNumberFormat="1" applyFill="1"/>
    <xf numFmtId="10" fontId="5" fillId="4" borderId="0" xfId="0" applyNumberFormat="1" applyFont="1" applyFill="1"/>
    <xf numFmtId="9" fontId="19" fillId="3" borderId="1" xfId="2" applyFont="1" applyFill="1" applyBorder="1" applyAlignment="1">
      <alignment horizontal="center"/>
    </xf>
    <xf numFmtId="171" fontId="19" fillId="3" borderId="0" xfId="4" applyNumberFormat="1" applyFont="1" applyFill="1" applyAlignment="1">
      <alignment horizontal="center"/>
    </xf>
    <xf numFmtId="171" fontId="19" fillId="3" borderId="1" xfId="4" applyNumberFormat="1" applyFont="1" applyFill="1" applyBorder="1" applyAlignment="1">
      <alignment horizontal="center"/>
    </xf>
    <xf numFmtId="10" fontId="19" fillId="3" borderId="0" xfId="2" applyNumberFormat="1" applyFont="1" applyFill="1" applyAlignment="1">
      <alignment horizontal="center"/>
    </xf>
    <xf numFmtId="10" fontId="19" fillId="3" borderId="1" xfId="2" applyNumberFormat="1" applyFont="1" applyFill="1" applyBorder="1" applyAlignment="1">
      <alignment horizontal="center"/>
    </xf>
    <xf numFmtId="9" fontId="0" fillId="4" borderId="23" xfId="2" applyFont="1" applyFill="1" applyBorder="1" applyAlignment="1">
      <alignment horizontal="center"/>
    </xf>
    <xf numFmtId="9" fontId="0" fillId="4" borderId="24" xfId="2" applyFont="1" applyFill="1" applyBorder="1" applyAlignment="1">
      <alignment horizontal="center"/>
    </xf>
    <xf numFmtId="43" fontId="0" fillId="4" borderId="23" xfId="4" applyNumberFormat="1" applyFont="1" applyFill="1" applyBorder="1" applyAlignment="1">
      <alignment horizontal="center"/>
    </xf>
    <xf numFmtId="43" fontId="0" fillId="4" borderId="24" xfId="4" applyNumberFormat="1" applyFont="1" applyFill="1" applyBorder="1" applyAlignment="1">
      <alignment horizontal="center"/>
    </xf>
    <xf numFmtId="10" fontId="0" fillId="4" borderId="23" xfId="2" applyNumberFormat="1" applyFont="1" applyFill="1" applyBorder="1" applyAlignment="1">
      <alignment horizontal="center"/>
    </xf>
    <xf numFmtId="10" fontId="0" fillId="4" borderId="24" xfId="2" applyNumberFormat="1" applyFont="1" applyFill="1" applyBorder="1" applyAlignment="1">
      <alignment horizontal="center"/>
    </xf>
    <xf numFmtId="43" fontId="0" fillId="4" borderId="0" xfId="0" applyNumberFormat="1" applyFill="1" applyAlignment="1">
      <alignment horizontal="center"/>
    </xf>
    <xf numFmtId="43" fontId="0" fillId="4" borderId="23" xfId="0" applyNumberFormat="1" applyFill="1" applyBorder="1" applyAlignment="1">
      <alignment horizontal="center"/>
    </xf>
    <xf numFmtId="43" fontId="0" fillId="4" borderId="1" xfId="0" applyNumberFormat="1" applyFill="1" applyBorder="1" applyAlignment="1">
      <alignment horizontal="center"/>
    </xf>
    <xf numFmtId="43" fontId="0" fillId="4" borderId="24" xfId="0" applyNumberFormat="1" applyFill="1" applyBorder="1" applyAlignment="1">
      <alignment horizontal="center"/>
    </xf>
    <xf numFmtId="43" fontId="0" fillId="4" borderId="0" xfId="4" applyFont="1" applyFill="1" applyAlignment="1">
      <alignment horizontal="center"/>
    </xf>
    <xf numFmtId="43" fontId="0" fillId="4" borderId="23" xfId="4" applyFont="1" applyFill="1" applyBorder="1" applyAlignment="1">
      <alignment horizontal="center"/>
    </xf>
    <xf numFmtId="10" fontId="0" fillId="4" borderId="0" xfId="2" applyNumberFormat="1" applyFont="1" applyFill="1" applyAlignment="1">
      <alignment horizontal="center"/>
    </xf>
    <xf numFmtId="10" fontId="0" fillId="4" borderId="1" xfId="2" applyNumberFormat="1" applyFont="1" applyFill="1" applyBorder="1" applyAlignment="1">
      <alignment horizontal="center"/>
    </xf>
    <xf numFmtId="10" fontId="3" fillId="4" borderId="15" xfId="0" applyNumberFormat="1" applyFont="1" applyFill="1" applyBorder="1" applyAlignment="1">
      <alignment horizontal="center"/>
    </xf>
    <xf numFmtId="10" fontId="3" fillId="4" borderId="18" xfId="2" applyNumberFormat="1" applyFont="1" applyFill="1" applyBorder="1" applyAlignment="1">
      <alignment horizontal="center"/>
    </xf>
    <xf numFmtId="10" fontId="3" fillId="4" borderId="19" xfId="2" applyNumberFormat="1" applyFont="1" applyFill="1" applyBorder="1" applyAlignment="1">
      <alignment horizontal="center"/>
    </xf>
    <xf numFmtId="10" fontId="19" fillId="3" borderId="20" xfId="2" applyNumberFormat="1" applyFont="1" applyFill="1" applyBorder="1" applyAlignment="1">
      <alignment horizontal="center"/>
    </xf>
    <xf numFmtId="10" fontId="19" fillId="3" borderId="21" xfId="2" applyNumberFormat="1" applyFont="1" applyFill="1" applyBorder="1" applyAlignment="1">
      <alignment horizontal="center"/>
    </xf>
    <xf numFmtId="10" fontId="19" fillId="3" borderId="22" xfId="2" applyNumberFormat="1" applyFont="1" applyFill="1" applyBorder="1" applyAlignment="1">
      <alignment horizontal="center"/>
    </xf>
    <xf numFmtId="10" fontId="3" fillId="4" borderId="3" xfId="2" applyNumberFormat="1" applyFont="1" applyFill="1" applyBorder="1" applyAlignment="1">
      <alignment horizontal="center"/>
    </xf>
    <xf numFmtId="10" fontId="3" fillId="4" borderId="4" xfId="2" applyNumberFormat="1" applyFont="1" applyFill="1" applyBorder="1" applyAlignment="1">
      <alignment horizontal="center"/>
    </xf>
    <xf numFmtId="10" fontId="3" fillId="4" borderId="0" xfId="2" applyNumberFormat="1" applyFont="1" applyFill="1" applyBorder="1" applyAlignment="1">
      <alignment horizontal="center"/>
    </xf>
    <xf numFmtId="10" fontId="3" fillId="4" borderId="6" xfId="2" applyNumberFormat="1" applyFont="1" applyFill="1" applyBorder="1" applyAlignment="1">
      <alignment horizontal="center"/>
    </xf>
    <xf numFmtId="44" fontId="19" fillId="3" borderId="14" xfId="1" applyFont="1" applyFill="1" applyBorder="1"/>
    <xf numFmtId="0" fontId="19" fillId="3" borderId="6" xfId="0" applyFont="1" applyFill="1" applyBorder="1" applyAlignment="1">
      <alignment horizontal="center"/>
    </xf>
    <xf numFmtId="0" fontId="19" fillId="3" borderId="9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173" fontId="3" fillId="4" borderId="6" xfId="0" applyNumberFormat="1" applyFont="1" applyFill="1" applyBorder="1"/>
    <xf numFmtId="166" fontId="5" fillId="4" borderId="4" xfId="0" applyNumberFormat="1" applyFont="1" applyFill="1" applyBorder="1"/>
    <xf numFmtId="44" fontId="19" fillId="3" borderId="6" xfId="1" applyFont="1" applyFill="1" applyBorder="1" applyAlignment="1">
      <alignment horizontal="center"/>
    </xf>
    <xf numFmtId="44" fontId="19" fillId="3" borderId="6" xfId="1" applyFont="1" applyFill="1" applyBorder="1" applyAlignment="1">
      <alignment horizontal="center" vertical="center"/>
    </xf>
    <xf numFmtId="44" fontId="19" fillId="3" borderId="9" xfId="1" applyFont="1" applyFill="1" applyBorder="1" applyAlignment="1">
      <alignment horizontal="center"/>
    </xf>
    <xf numFmtId="44" fontId="3" fillId="4" borderId="9" xfId="1" applyFont="1" applyFill="1" applyBorder="1"/>
    <xf numFmtId="44" fontId="0" fillId="4" borderId="0" xfId="1" applyFont="1" applyFill="1" applyBorder="1"/>
    <xf numFmtId="44" fontId="0" fillId="4" borderId="0" xfId="0" applyNumberFormat="1" applyFill="1" applyBorder="1"/>
    <xf numFmtId="44" fontId="16" fillId="4" borderId="8" xfId="0" applyNumberFormat="1" applyFont="1" applyFill="1" applyBorder="1"/>
    <xf numFmtId="174" fontId="0" fillId="4" borderId="6" xfId="0" applyNumberFormat="1" applyFill="1" applyBorder="1" applyAlignment="1">
      <alignment horizontal="center"/>
    </xf>
    <xf numFmtId="0" fontId="3" fillId="4" borderId="9" xfId="0" applyNumberFormat="1" applyFont="1" applyFill="1" applyBorder="1" applyAlignment="1">
      <alignment horizontal="center"/>
    </xf>
    <xf numFmtId="164" fontId="3" fillId="4" borderId="15" xfId="0" applyNumberFormat="1" applyFont="1" applyFill="1" applyBorder="1" applyAlignment="1">
      <alignment horizontal="center"/>
    </xf>
    <xf numFmtId="164" fontId="3" fillId="0" borderId="6" xfId="0" applyNumberFormat="1" applyFont="1" applyFill="1" applyBorder="1" applyAlignment="1">
      <alignment horizontal="center"/>
    </xf>
    <xf numFmtId="0" fontId="11" fillId="0" borderId="0" xfId="0" quotePrefix="1" applyFont="1" applyFill="1"/>
    <xf numFmtId="0" fontId="21" fillId="0" borderId="0" xfId="0" quotePrefix="1" applyFont="1" applyFill="1"/>
    <xf numFmtId="0" fontId="3" fillId="5" borderId="0" xfId="0" applyFont="1" applyFill="1"/>
    <xf numFmtId="10" fontId="2" fillId="0" borderId="0" xfId="2" applyNumberFormat="1" applyFont="1"/>
    <xf numFmtId="0" fontId="0" fillId="0" borderId="0" xfId="0" applyAlignment="1">
      <alignment horizontal="center" vertical="center" wrapText="1"/>
    </xf>
    <xf numFmtId="2" fontId="19" fillId="3" borderId="14" xfId="0" applyNumberFormat="1" applyFont="1" applyFill="1" applyBorder="1" applyAlignment="1">
      <alignment horizontal="center"/>
    </xf>
    <xf numFmtId="10" fontId="3" fillId="4" borderId="8" xfId="2" applyNumberFormat="1" applyFont="1" applyFill="1" applyBorder="1" applyAlignment="1">
      <alignment horizontal="center"/>
    </xf>
    <xf numFmtId="10" fontId="3" fillId="4" borderId="9" xfId="2" applyNumberFormat="1" applyFont="1" applyFill="1" applyBorder="1" applyAlignment="1">
      <alignment horizontal="center"/>
    </xf>
    <xf numFmtId="10" fontId="3" fillId="4" borderId="0" xfId="2" applyNumberFormat="1" applyFont="1" applyFill="1" applyBorder="1" applyAlignment="1">
      <alignment horizontal="center"/>
    </xf>
    <xf numFmtId="10" fontId="3" fillId="4" borderId="6" xfId="2" applyNumberFormat="1" applyFont="1" applyFill="1" applyBorder="1" applyAlignment="1">
      <alignment horizontal="center"/>
    </xf>
    <xf numFmtId="0" fontId="0" fillId="0" borderId="0" xfId="0" applyFont="1" applyFill="1"/>
    <xf numFmtId="0" fontId="3" fillId="0" borderId="1" xfId="0" applyFont="1" applyFill="1" applyBorder="1"/>
    <xf numFmtId="0" fontId="0" fillId="0" borderId="0" xfId="0" quotePrefix="1" applyFill="1"/>
    <xf numFmtId="0" fontId="0" fillId="0" borderId="0" xfId="0" applyFill="1" applyAlignment="1">
      <alignment vertical="center"/>
    </xf>
  </cellXfs>
  <cellStyles count="5">
    <cellStyle name="Comma" xfId="4" builtinId="3"/>
    <cellStyle name="Currency" xfId="1" builtinId="4"/>
    <cellStyle name="Hyperlink" xfId="3" builtinId="8"/>
    <cellStyle name="Normal" xfId="0" builtinId="0"/>
    <cellStyle name="Percent" xfId="2" builtinId="5"/>
  </cellStyles>
  <dxfs count="8">
    <dxf>
      <font>
        <color auto="1"/>
      </font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ont>
        <b/>
        <i val="0"/>
      </font>
      <fill>
        <patternFill>
          <bgColor rgb="FFFF66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rgb="FFFF660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rgb="FFFF3300"/>
        </patternFill>
      </fill>
    </dxf>
    <dxf>
      <font>
        <b/>
        <i val="0"/>
      </font>
      <fill>
        <patternFill>
          <bgColor theme="9" tint="0.39994506668294322"/>
        </patternFill>
      </fill>
    </dxf>
  </dxfs>
  <tableStyles count="0" defaultTableStyle="TableStyleMedium2" defaultPivotStyle="PivotStyleLight16"/>
  <colors>
    <mruColors>
      <color rgb="FFFF3300"/>
      <color rgb="FFFF6600"/>
      <color rgb="FFF5FDAD"/>
      <color rgb="FFF394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Straddle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tx>
            <c:strRef>
              <c:f>'Options Strategies'!$C$133</c:f>
              <c:strCache>
                <c:ptCount val="1"/>
                <c:pt idx="0">
                  <c:v>profit/loss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'Options Strategies'!$B$134:$B$148</c:f>
              <c:numCache>
                <c:formatCode>General</c:formatCode>
                <c:ptCount val="15"/>
                <c:pt idx="1">
                  <c:v>100</c:v>
                </c:pt>
                <c:pt idx="2">
                  <c:v>75</c:v>
                </c:pt>
                <c:pt idx="3">
                  <c:v>70</c:v>
                </c:pt>
                <c:pt idx="4">
                  <c:v>65</c:v>
                </c:pt>
                <c:pt idx="5">
                  <c:v>64.91</c:v>
                </c:pt>
                <c:pt idx="6">
                  <c:v>60</c:v>
                </c:pt>
                <c:pt idx="7">
                  <c:v>55</c:v>
                </c:pt>
                <c:pt idx="8">
                  <c:v>52.5</c:v>
                </c:pt>
                <c:pt idx="9">
                  <c:v>50</c:v>
                </c:pt>
                <c:pt idx="10">
                  <c:v>45</c:v>
                </c:pt>
                <c:pt idx="11">
                  <c:v>40</c:v>
                </c:pt>
                <c:pt idx="12">
                  <c:v>35</c:v>
                </c:pt>
                <c:pt idx="13">
                  <c:v>30</c:v>
                </c:pt>
                <c:pt idx="14">
                  <c:v>0</c:v>
                </c:pt>
              </c:numCache>
            </c:numRef>
          </c:xVal>
          <c:yVal>
            <c:numRef>
              <c:f>'Options Strategies'!$C$134:$C$148</c:f>
              <c:numCache>
                <c:formatCode>General</c:formatCode>
                <c:ptCount val="15"/>
                <c:pt idx="1">
                  <c:v>35.090000000000003</c:v>
                </c:pt>
                <c:pt idx="2">
                  <c:v>10.09</c:v>
                </c:pt>
                <c:pt idx="3">
                  <c:v>5.09</c:v>
                </c:pt>
                <c:pt idx="4">
                  <c:v>8.9999999999999858E-2</c:v>
                </c:pt>
                <c:pt idx="5">
                  <c:v>0</c:v>
                </c:pt>
                <c:pt idx="6">
                  <c:v>-4.91</c:v>
                </c:pt>
                <c:pt idx="7">
                  <c:v>-9.91</c:v>
                </c:pt>
                <c:pt idx="8">
                  <c:v>-12.41</c:v>
                </c:pt>
                <c:pt idx="9">
                  <c:v>-9.91</c:v>
                </c:pt>
                <c:pt idx="10">
                  <c:v>-4.91</c:v>
                </c:pt>
                <c:pt idx="11">
                  <c:v>8.9999999999999858E-2</c:v>
                </c:pt>
                <c:pt idx="12">
                  <c:v>5.09</c:v>
                </c:pt>
                <c:pt idx="13">
                  <c:v>10.09</c:v>
                </c:pt>
                <c:pt idx="14">
                  <c:v>40.090000000000003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190256"/>
        <c:axId val="1607180464"/>
      </c:scatterChart>
      <c:valAx>
        <c:axId val="1607190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180464"/>
        <c:crosses val="autoZero"/>
        <c:crossBetween val="midCat"/>
      </c:valAx>
      <c:valAx>
        <c:axId val="1607180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190256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Short</a:t>
            </a:r>
            <a:r>
              <a:rPr lang="en-US" baseline="0"/>
              <a:t> Straddle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tx>
            <c:strRef>
              <c:f>'Options Strategies'!$M$133</c:f>
              <c:strCache>
                <c:ptCount val="1"/>
                <c:pt idx="0">
                  <c:v>profit/loss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'Options Strategies'!$L$134:$L$148</c:f>
              <c:numCache>
                <c:formatCode>General</c:formatCode>
                <c:ptCount val="15"/>
                <c:pt idx="1">
                  <c:v>100</c:v>
                </c:pt>
                <c:pt idx="2">
                  <c:v>75</c:v>
                </c:pt>
                <c:pt idx="3">
                  <c:v>70</c:v>
                </c:pt>
                <c:pt idx="4">
                  <c:v>65</c:v>
                </c:pt>
                <c:pt idx="5">
                  <c:v>64.91</c:v>
                </c:pt>
                <c:pt idx="6">
                  <c:v>60</c:v>
                </c:pt>
                <c:pt idx="7">
                  <c:v>55</c:v>
                </c:pt>
                <c:pt idx="8">
                  <c:v>52.5</c:v>
                </c:pt>
                <c:pt idx="9">
                  <c:v>50</c:v>
                </c:pt>
                <c:pt idx="10">
                  <c:v>45</c:v>
                </c:pt>
                <c:pt idx="11">
                  <c:v>40</c:v>
                </c:pt>
                <c:pt idx="12">
                  <c:v>35</c:v>
                </c:pt>
                <c:pt idx="13">
                  <c:v>30</c:v>
                </c:pt>
                <c:pt idx="14">
                  <c:v>0</c:v>
                </c:pt>
              </c:numCache>
            </c:numRef>
          </c:xVal>
          <c:yVal>
            <c:numRef>
              <c:f>'Options Strategies'!$M$134:$M$148</c:f>
              <c:numCache>
                <c:formatCode>General</c:formatCode>
                <c:ptCount val="15"/>
                <c:pt idx="1">
                  <c:v>-35.090000000000003</c:v>
                </c:pt>
                <c:pt idx="2">
                  <c:v>-10.09</c:v>
                </c:pt>
                <c:pt idx="3">
                  <c:v>-5.09</c:v>
                </c:pt>
                <c:pt idx="4">
                  <c:v>-8.9999999999999858E-2</c:v>
                </c:pt>
                <c:pt idx="5">
                  <c:v>0</c:v>
                </c:pt>
                <c:pt idx="6">
                  <c:v>4.91</c:v>
                </c:pt>
                <c:pt idx="7">
                  <c:v>9.91</c:v>
                </c:pt>
                <c:pt idx="8">
                  <c:v>12.41</c:v>
                </c:pt>
                <c:pt idx="9">
                  <c:v>9.91</c:v>
                </c:pt>
                <c:pt idx="10">
                  <c:v>4.91</c:v>
                </c:pt>
                <c:pt idx="11">
                  <c:v>-8.9999999999999858E-2</c:v>
                </c:pt>
                <c:pt idx="12">
                  <c:v>-5.09</c:v>
                </c:pt>
                <c:pt idx="13">
                  <c:v>-10.09</c:v>
                </c:pt>
                <c:pt idx="14">
                  <c:v>-40.090000000000003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185360"/>
        <c:axId val="1607185904"/>
      </c:scatterChart>
      <c:valAx>
        <c:axId val="160718536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185904"/>
        <c:crosses val="autoZero"/>
        <c:crossBetween val="midCat"/>
      </c:valAx>
      <c:valAx>
        <c:axId val="16071859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18536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CA"/>
              <a:t>Bull Call</a:t>
            </a:r>
            <a:r>
              <a:rPr lang="en-CA" baseline="0"/>
              <a:t> Spread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'Options Strategies'!$B$181:$B$194</c:f>
              <c:numCache>
                <c:formatCode>General</c:formatCode>
                <c:ptCount val="14"/>
                <c:pt idx="0">
                  <c:v>100</c:v>
                </c:pt>
                <c:pt idx="1">
                  <c:v>75</c:v>
                </c:pt>
                <c:pt idx="2">
                  <c:v>70</c:v>
                </c:pt>
                <c:pt idx="3">
                  <c:v>65</c:v>
                </c:pt>
                <c:pt idx="4">
                  <c:v>64.91</c:v>
                </c:pt>
                <c:pt idx="5">
                  <c:v>60</c:v>
                </c:pt>
                <c:pt idx="6">
                  <c:v>55</c:v>
                </c:pt>
                <c:pt idx="7">
                  <c:v>52.5</c:v>
                </c:pt>
                <c:pt idx="8">
                  <c:v>50</c:v>
                </c:pt>
                <c:pt idx="9">
                  <c:v>45</c:v>
                </c:pt>
                <c:pt idx="10">
                  <c:v>40</c:v>
                </c:pt>
                <c:pt idx="11">
                  <c:v>35</c:v>
                </c:pt>
                <c:pt idx="12">
                  <c:v>30</c:v>
                </c:pt>
                <c:pt idx="13">
                  <c:v>0</c:v>
                </c:pt>
              </c:numCache>
            </c:numRef>
          </c:xVal>
          <c:yVal>
            <c:numRef>
              <c:f>'Options Strategies'!$C$181:$C$194</c:f>
              <c:numCache>
                <c:formatCode>_("$"* #,##0.00_);_("$"* \(#,##0.00\);_("$"* "-"??_);_(@_)</c:formatCode>
                <c:ptCount val="14"/>
                <c:pt idx="0">
                  <c:v>2.8000000000000043</c:v>
                </c:pt>
                <c:pt idx="1">
                  <c:v>2.8000000000000007</c:v>
                </c:pt>
                <c:pt idx="2">
                  <c:v>2.8000000000000007</c:v>
                </c:pt>
                <c:pt idx="3">
                  <c:v>2.8000000000000007</c:v>
                </c:pt>
                <c:pt idx="4">
                  <c:v>2.8000000000000007</c:v>
                </c:pt>
                <c:pt idx="5">
                  <c:v>2.8</c:v>
                </c:pt>
                <c:pt idx="6">
                  <c:v>2.8</c:v>
                </c:pt>
                <c:pt idx="7">
                  <c:v>0.29999999999999982</c:v>
                </c:pt>
                <c:pt idx="8">
                  <c:v>-2.2000000000000002</c:v>
                </c:pt>
                <c:pt idx="9">
                  <c:v>-2.2000000000000002</c:v>
                </c:pt>
                <c:pt idx="10">
                  <c:v>-2.2000000000000002</c:v>
                </c:pt>
                <c:pt idx="11">
                  <c:v>-2.2000000000000002</c:v>
                </c:pt>
                <c:pt idx="12">
                  <c:v>-2.2000000000000002</c:v>
                </c:pt>
                <c:pt idx="13">
                  <c:v>-2.2000000000000002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188624"/>
        <c:axId val="1607186992"/>
      </c:scatterChart>
      <c:valAx>
        <c:axId val="160718862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186992"/>
        <c:crosses val="autoZero"/>
        <c:crossBetween val="midCat"/>
      </c:valAx>
      <c:valAx>
        <c:axId val="16071869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.00_);_(&quot;$&quot;* \(#,##0.00\);_(&quot;$&quot;* &quot;-&quot;??_);_(@_)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18862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Bull Put Spread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tx>
            <c:strRef>
              <c:f>'Options Strategies'!$M$179</c:f>
              <c:strCache>
                <c:ptCount val="1"/>
                <c:pt idx="0">
                  <c:v>Profit/Loss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'Options Strategies'!$L$180:$L$194</c:f>
              <c:numCache>
                <c:formatCode>General</c:formatCode>
                <c:ptCount val="15"/>
                <c:pt idx="1">
                  <c:v>100</c:v>
                </c:pt>
                <c:pt idx="2">
                  <c:v>75</c:v>
                </c:pt>
                <c:pt idx="3">
                  <c:v>70</c:v>
                </c:pt>
                <c:pt idx="4">
                  <c:v>65</c:v>
                </c:pt>
                <c:pt idx="5">
                  <c:v>64.91</c:v>
                </c:pt>
                <c:pt idx="6">
                  <c:v>60</c:v>
                </c:pt>
                <c:pt idx="7">
                  <c:v>55</c:v>
                </c:pt>
                <c:pt idx="8">
                  <c:v>52.5</c:v>
                </c:pt>
                <c:pt idx="9">
                  <c:v>50</c:v>
                </c:pt>
                <c:pt idx="10">
                  <c:v>45</c:v>
                </c:pt>
                <c:pt idx="11">
                  <c:v>40</c:v>
                </c:pt>
                <c:pt idx="12">
                  <c:v>35</c:v>
                </c:pt>
                <c:pt idx="13">
                  <c:v>30</c:v>
                </c:pt>
                <c:pt idx="14">
                  <c:v>0</c:v>
                </c:pt>
              </c:numCache>
            </c:numRef>
          </c:xVal>
          <c:yVal>
            <c:numRef>
              <c:f>'Options Strategies'!$M$180:$M$194</c:f>
              <c:numCache>
                <c:formatCode>_("$"* #,##0.00_);_("$"* \(#,##0.00\);_("$"* "-"??_);_(@_)</c:formatCode>
                <c:ptCount val="15"/>
                <c:pt idx="1">
                  <c:v>-2.74</c:v>
                </c:pt>
                <c:pt idx="2">
                  <c:v>-2.74</c:v>
                </c:pt>
                <c:pt idx="3">
                  <c:v>-2.74</c:v>
                </c:pt>
                <c:pt idx="4">
                  <c:v>-2.74</c:v>
                </c:pt>
                <c:pt idx="5">
                  <c:v>-2.74</c:v>
                </c:pt>
                <c:pt idx="6">
                  <c:v>-2.74</c:v>
                </c:pt>
                <c:pt idx="7">
                  <c:v>-2.74</c:v>
                </c:pt>
                <c:pt idx="8">
                  <c:v>-0.24000000000000021</c:v>
                </c:pt>
                <c:pt idx="9">
                  <c:v>2.2600000000000007</c:v>
                </c:pt>
                <c:pt idx="10">
                  <c:v>2.2600000000000007</c:v>
                </c:pt>
                <c:pt idx="11">
                  <c:v>2.2600000000000007</c:v>
                </c:pt>
                <c:pt idx="12">
                  <c:v>2.2600000000000007</c:v>
                </c:pt>
                <c:pt idx="13">
                  <c:v>2.2600000000000007</c:v>
                </c:pt>
                <c:pt idx="14">
                  <c:v>2.2600000000000007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189712"/>
        <c:axId val="1607176656"/>
      </c:scatterChart>
      <c:valAx>
        <c:axId val="16071897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176656"/>
        <c:crosses val="autoZero"/>
        <c:crossBetween val="midCat"/>
      </c:valAx>
      <c:valAx>
        <c:axId val="16071766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718971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Bear</a:t>
            </a:r>
            <a:r>
              <a:rPr lang="en-US" baseline="0"/>
              <a:t> Call Spread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'Options Strategies'!$B$220:$B$233</c:f>
              <c:numCache>
                <c:formatCode>General</c:formatCode>
                <c:ptCount val="14"/>
                <c:pt idx="0">
                  <c:v>100</c:v>
                </c:pt>
                <c:pt idx="1">
                  <c:v>75</c:v>
                </c:pt>
                <c:pt idx="2">
                  <c:v>70</c:v>
                </c:pt>
                <c:pt idx="3">
                  <c:v>65</c:v>
                </c:pt>
                <c:pt idx="4">
                  <c:v>64.91</c:v>
                </c:pt>
                <c:pt idx="5">
                  <c:v>60</c:v>
                </c:pt>
                <c:pt idx="6">
                  <c:v>55</c:v>
                </c:pt>
                <c:pt idx="7">
                  <c:v>52.5</c:v>
                </c:pt>
                <c:pt idx="8">
                  <c:v>50</c:v>
                </c:pt>
                <c:pt idx="9">
                  <c:v>45</c:v>
                </c:pt>
                <c:pt idx="10">
                  <c:v>40</c:v>
                </c:pt>
                <c:pt idx="11">
                  <c:v>35</c:v>
                </c:pt>
                <c:pt idx="12">
                  <c:v>30</c:v>
                </c:pt>
                <c:pt idx="13">
                  <c:v>0</c:v>
                </c:pt>
              </c:numCache>
            </c:numRef>
          </c:xVal>
          <c:yVal>
            <c:numRef>
              <c:f>'Options Strategies'!$C$220:$C$233</c:f>
              <c:numCache>
                <c:formatCode>_("$"* #,##0.00_);_("$"* \(#,##0.00\);_("$"* "-"??_);_(@_)</c:formatCode>
                <c:ptCount val="14"/>
                <c:pt idx="0">
                  <c:v>-2.7999999999999972</c:v>
                </c:pt>
                <c:pt idx="1">
                  <c:v>-2.8000000000000007</c:v>
                </c:pt>
                <c:pt idx="2">
                  <c:v>-2.8000000000000007</c:v>
                </c:pt>
                <c:pt idx="3">
                  <c:v>-2.8000000000000007</c:v>
                </c:pt>
                <c:pt idx="4">
                  <c:v>-2.8000000000000007</c:v>
                </c:pt>
                <c:pt idx="5">
                  <c:v>-2.8</c:v>
                </c:pt>
                <c:pt idx="6">
                  <c:v>-2.8</c:v>
                </c:pt>
                <c:pt idx="7">
                  <c:v>-0.29999999999999982</c:v>
                </c:pt>
                <c:pt idx="8">
                  <c:v>2.2000000000000002</c:v>
                </c:pt>
                <c:pt idx="9">
                  <c:v>2.2000000000000002</c:v>
                </c:pt>
                <c:pt idx="10">
                  <c:v>2.2000000000000002</c:v>
                </c:pt>
                <c:pt idx="11">
                  <c:v>2.2000000000000002</c:v>
                </c:pt>
                <c:pt idx="12">
                  <c:v>2.2000000000000002</c:v>
                </c:pt>
                <c:pt idx="13">
                  <c:v>2.2000000000000002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82795632"/>
        <c:axId val="1682804880"/>
      </c:scatterChart>
      <c:valAx>
        <c:axId val="16827956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2804880"/>
        <c:crosses val="autoZero"/>
        <c:crossBetween val="midCat"/>
      </c:valAx>
      <c:valAx>
        <c:axId val="16828048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.00_);_(&quot;$&quot;* \(#,##0.00\);_(&quot;$&quot;* &quot;-&quot;??_);_(@_)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279563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CA"/>
              <a:t>Bull Put Spread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'Options Strategies'!$L$220:$L$233</c:f>
              <c:numCache>
                <c:formatCode>General</c:formatCode>
                <c:ptCount val="14"/>
                <c:pt idx="0">
                  <c:v>100</c:v>
                </c:pt>
                <c:pt idx="1">
                  <c:v>75</c:v>
                </c:pt>
                <c:pt idx="2">
                  <c:v>70</c:v>
                </c:pt>
                <c:pt idx="3">
                  <c:v>65</c:v>
                </c:pt>
                <c:pt idx="4">
                  <c:v>64.91</c:v>
                </c:pt>
                <c:pt idx="5">
                  <c:v>60</c:v>
                </c:pt>
                <c:pt idx="6">
                  <c:v>55</c:v>
                </c:pt>
                <c:pt idx="7">
                  <c:v>52.5</c:v>
                </c:pt>
                <c:pt idx="8">
                  <c:v>50</c:v>
                </c:pt>
                <c:pt idx="9">
                  <c:v>45</c:v>
                </c:pt>
                <c:pt idx="10">
                  <c:v>40</c:v>
                </c:pt>
                <c:pt idx="11">
                  <c:v>35</c:v>
                </c:pt>
                <c:pt idx="12">
                  <c:v>30</c:v>
                </c:pt>
                <c:pt idx="13">
                  <c:v>0</c:v>
                </c:pt>
              </c:numCache>
            </c:numRef>
          </c:xVal>
          <c:yVal>
            <c:numRef>
              <c:f>'Options Strategies'!$M$220:$M$233</c:f>
              <c:numCache>
                <c:formatCode>_("$"* #,##0.00_);_("$"* \(#,##0.00\);_("$"* "-"??_);_(@_)</c:formatCode>
                <c:ptCount val="14"/>
                <c:pt idx="0">
                  <c:v>2.74</c:v>
                </c:pt>
                <c:pt idx="1">
                  <c:v>2.74</c:v>
                </c:pt>
                <c:pt idx="2">
                  <c:v>2.74</c:v>
                </c:pt>
                <c:pt idx="3">
                  <c:v>2.74</c:v>
                </c:pt>
                <c:pt idx="4">
                  <c:v>2.74</c:v>
                </c:pt>
                <c:pt idx="5">
                  <c:v>2.74</c:v>
                </c:pt>
                <c:pt idx="6">
                  <c:v>2.74</c:v>
                </c:pt>
                <c:pt idx="7">
                  <c:v>0.24000000000000021</c:v>
                </c:pt>
                <c:pt idx="8">
                  <c:v>-2.2599999999999998</c:v>
                </c:pt>
                <c:pt idx="9">
                  <c:v>-2.2599999999999998</c:v>
                </c:pt>
                <c:pt idx="10">
                  <c:v>-2.2599999999999998</c:v>
                </c:pt>
                <c:pt idx="11">
                  <c:v>-2.259999999999998</c:v>
                </c:pt>
                <c:pt idx="12">
                  <c:v>-2.259999999999998</c:v>
                </c:pt>
                <c:pt idx="13">
                  <c:v>-2.259999999999998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82805968"/>
        <c:axId val="1682807600"/>
      </c:scatterChart>
      <c:valAx>
        <c:axId val="16828059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2807600"/>
        <c:crosses val="autoZero"/>
        <c:crossBetween val="midCat"/>
      </c:valAx>
      <c:valAx>
        <c:axId val="1682807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.00_);_(&quot;$&quot;* \(#,##0.00\);_(&quot;$&quot;* &quot;-&quot;??_);_(@_)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280596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CA"/>
              <a:t>Covered Call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'Options Strategies'!$B$37:$B$42</c:f>
              <c:numCache>
                <c:formatCode>General</c:formatCode>
                <c:ptCount val="6"/>
                <c:pt idx="0">
                  <c:v>60</c:v>
                </c:pt>
                <c:pt idx="1">
                  <c:v>55</c:v>
                </c:pt>
                <c:pt idx="2">
                  <c:v>52.5</c:v>
                </c:pt>
                <c:pt idx="3">
                  <c:v>50</c:v>
                </c:pt>
                <c:pt idx="4">
                  <c:v>45</c:v>
                </c:pt>
                <c:pt idx="5">
                  <c:v>40</c:v>
                </c:pt>
              </c:numCache>
            </c:numRef>
          </c:xVal>
          <c:yVal>
            <c:numRef>
              <c:f>'Options Strategies'!$C$37:$C$42</c:f>
              <c:numCache>
                <c:formatCode>General</c:formatCode>
                <c:ptCount val="6"/>
                <c:pt idx="0">
                  <c:v>15.379999999999995</c:v>
                </c:pt>
                <c:pt idx="1">
                  <c:v>5.3800000000000026</c:v>
                </c:pt>
                <c:pt idx="2">
                  <c:v>2.8800000000000026</c:v>
                </c:pt>
                <c:pt idx="3">
                  <c:v>0.38000000000000256</c:v>
                </c:pt>
                <c:pt idx="4">
                  <c:v>-4.6199999999999974</c:v>
                </c:pt>
                <c:pt idx="5">
                  <c:v>-9.6199999999999974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82802160"/>
        <c:axId val="1682802704"/>
      </c:scatterChart>
      <c:valAx>
        <c:axId val="1682802160"/>
        <c:scaling>
          <c:orientation val="minMax"/>
          <c:min val="3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2802704"/>
        <c:crosses val="autoZero"/>
        <c:crossBetween val="midCat"/>
      </c:valAx>
      <c:valAx>
        <c:axId val="16828027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280216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CA"/>
              <a:t>Protective</a:t>
            </a:r>
            <a:r>
              <a:rPr lang="en-CA" baseline="0"/>
              <a:t> Put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'Options Strategies'!$B$61:$B$74</c:f>
              <c:numCache>
                <c:formatCode>General</c:formatCode>
                <c:ptCount val="14"/>
                <c:pt idx="0">
                  <c:v>100</c:v>
                </c:pt>
                <c:pt idx="1">
                  <c:v>75</c:v>
                </c:pt>
                <c:pt idx="2">
                  <c:v>70</c:v>
                </c:pt>
                <c:pt idx="3">
                  <c:v>65</c:v>
                </c:pt>
                <c:pt idx="4">
                  <c:v>64.91</c:v>
                </c:pt>
                <c:pt idx="5">
                  <c:v>60</c:v>
                </c:pt>
                <c:pt idx="6">
                  <c:v>55</c:v>
                </c:pt>
                <c:pt idx="7">
                  <c:v>52.5</c:v>
                </c:pt>
                <c:pt idx="8">
                  <c:v>50</c:v>
                </c:pt>
                <c:pt idx="9">
                  <c:v>45</c:v>
                </c:pt>
                <c:pt idx="10">
                  <c:v>40</c:v>
                </c:pt>
                <c:pt idx="11">
                  <c:v>35</c:v>
                </c:pt>
                <c:pt idx="12">
                  <c:v>30</c:v>
                </c:pt>
                <c:pt idx="13">
                  <c:v>0</c:v>
                </c:pt>
              </c:numCache>
            </c:numRef>
          </c:xVal>
          <c:yVal>
            <c:numRef>
              <c:f>'Options Strategies'!$C$61:$C$74</c:f>
              <c:numCache>
                <c:formatCode>General</c:formatCode>
                <c:ptCount val="14"/>
                <c:pt idx="0">
                  <c:v>43.99</c:v>
                </c:pt>
                <c:pt idx="1">
                  <c:v>18.989999999999998</c:v>
                </c:pt>
                <c:pt idx="2">
                  <c:v>13.989999999999998</c:v>
                </c:pt>
                <c:pt idx="3">
                  <c:v>8.9899999999999984</c:v>
                </c:pt>
                <c:pt idx="4">
                  <c:v>8.899999999999995</c:v>
                </c:pt>
                <c:pt idx="5">
                  <c:v>3.9899999999999993</c:v>
                </c:pt>
                <c:pt idx="6">
                  <c:v>-1.0100000000000007</c:v>
                </c:pt>
                <c:pt idx="7">
                  <c:v>-3.5100000000000007</c:v>
                </c:pt>
                <c:pt idx="8">
                  <c:v>-6.0100000000000007</c:v>
                </c:pt>
                <c:pt idx="9">
                  <c:v>-6.0100000000000016</c:v>
                </c:pt>
                <c:pt idx="10">
                  <c:v>-6.0100000000000016</c:v>
                </c:pt>
                <c:pt idx="11">
                  <c:v>-6.0100000000000016</c:v>
                </c:pt>
                <c:pt idx="12">
                  <c:v>-6.0100000000000016</c:v>
                </c:pt>
                <c:pt idx="13">
                  <c:v>-6.009999999999998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82794000"/>
        <c:axId val="1682805424"/>
      </c:scatterChart>
      <c:valAx>
        <c:axId val="16827940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2805424"/>
        <c:crosses val="autoZero"/>
        <c:crossBetween val="midCat"/>
      </c:valAx>
      <c:valAx>
        <c:axId val="16828054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279400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CA"/>
              <a:t>Collar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7122703412073492E-2"/>
          <c:y val="0.17171296296296298"/>
          <c:w val="0.88887729658792647"/>
          <c:h val="0.77736111111111106"/>
        </c:manualLayout>
      </c:layout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'Options Strategies'!$B$96:$B$109</c:f>
              <c:numCache>
                <c:formatCode>General</c:formatCode>
                <c:ptCount val="14"/>
                <c:pt idx="0">
                  <c:v>100</c:v>
                </c:pt>
                <c:pt idx="1">
                  <c:v>75</c:v>
                </c:pt>
                <c:pt idx="2">
                  <c:v>70</c:v>
                </c:pt>
                <c:pt idx="3">
                  <c:v>65</c:v>
                </c:pt>
                <c:pt idx="4">
                  <c:v>64.91</c:v>
                </c:pt>
                <c:pt idx="5">
                  <c:v>60</c:v>
                </c:pt>
                <c:pt idx="6">
                  <c:v>55</c:v>
                </c:pt>
                <c:pt idx="7">
                  <c:v>52.5</c:v>
                </c:pt>
                <c:pt idx="8">
                  <c:v>50</c:v>
                </c:pt>
                <c:pt idx="9">
                  <c:v>45</c:v>
                </c:pt>
                <c:pt idx="10">
                  <c:v>40</c:v>
                </c:pt>
                <c:pt idx="11">
                  <c:v>35</c:v>
                </c:pt>
                <c:pt idx="12">
                  <c:v>30</c:v>
                </c:pt>
                <c:pt idx="13">
                  <c:v>0</c:v>
                </c:pt>
              </c:numCache>
            </c:numRef>
          </c:xVal>
          <c:yVal>
            <c:numRef>
              <c:f>'Options Strategies'!$C$96:$C$109</c:f>
              <c:numCache>
                <c:formatCode>General</c:formatCode>
                <c:ptCount val="14"/>
                <c:pt idx="0">
                  <c:v>3.7299999999999969</c:v>
                </c:pt>
                <c:pt idx="1">
                  <c:v>3.7299999999999969</c:v>
                </c:pt>
                <c:pt idx="2">
                  <c:v>3.7299999999999969</c:v>
                </c:pt>
                <c:pt idx="3">
                  <c:v>3.7299999999999969</c:v>
                </c:pt>
                <c:pt idx="4">
                  <c:v>3.7299999999999969</c:v>
                </c:pt>
                <c:pt idx="5">
                  <c:v>3.7299999999999969</c:v>
                </c:pt>
                <c:pt idx="6">
                  <c:v>2.8599999999999994</c:v>
                </c:pt>
                <c:pt idx="7">
                  <c:v>0.35999999999999943</c:v>
                </c:pt>
                <c:pt idx="8">
                  <c:v>-2.1400000000000006</c:v>
                </c:pt>
                <c:pt idx="9">
                  <c:v>-2.1400000000000006</c:v>
                </c:pt>
                <c:pt idx="10">
                  <c:v>-2.1400000000000006</c:v>
                </c:pt>
                <c:pt idx="11">
                  <c:v>-2.1400000000000006</c:v>
                </c:pt>
                <c:pt idx="12">
                  <c:v>-2.1400000000000006</c:v>
                </c:pt>
                <c:pt idx="13">
                  <c:v>-2.1400000000000006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82796176"/>
        <c:axId val="1682801072"/>
      </c:scatterChart>
      <c:valAx>
        <c:axId val="1682796176"/>
        <c:scaling>
          <c:orientation val="minMax"/>
          <c:min val="2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2801072"/>
        <c:crosses val="autoZero"/>
        <c:crossBetween val="midCat"/>
      </c:valAx>
      <c:valAx>
        <c:axId val="16828010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2796176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Style="combo" dx="16" fmlaLink="$C$20" fmlaRange="$M$12:$M$13" noThreeD="1" val="0"/>
</file>

<file path=xl/ctrlProps/ctrlProp2.xml><?xml version="1.0" encoding="utf-8"?>
<formControlPr xmlns="http://schemas.microsoft.com/office/spreadsheetml/2009/9/main" objectType="Drop" dropStyle="combo" dx="16" fmlaLink="$C$20" fmlaRange="$M$12:$M$13" noThreeD="1" val="0"/>
</file>

<file path=xl/ctrlProps/ctrlProp3.xml><?xml version="1.0" encoding="utf-8"?>
<formControlPr xmlns="http://schemas.microsoft.com/office/spreadsheetml/2009/9/main" objectType="Drop" dropStyle="combo" dx="16" fmlaLink="$C$14" fmlaRange="$M$15:$M$16" noThreeD="1" val="0"/>
</file>

<file path=xl/ctrlProps/ctrlProp4.xml><?xml version="1.0" encoding="utf-8"?>
<formControlPr xmlns="http://schemas.microsoft.com/office/spreadsheetml/2009/9/main" objectType="Drop" dropStyle="combo" dx="16" fmlaLink="$C$39" fmlaRange="$M$12:$M$13" noThreeD="1" sel="2" val="0"/>
</file>

<file path=xl/ctrlProps/ctrlProp5.xml><?xml version="1.0" encoding="utf-8"?>
<formControlPr xmlns="http://schemas.microsoft.com/office/spreadsheetml/2009/9/main" objectType="Drop" dropStyle="combo" dx="16" fmlaLink="$I$39" fmlaRange="$M$12:$M$13" noThreeD="1" sel="2" val="0"/>
</file>

<file path=xl/ctrlProps/ctrlProp6.xml><?xml version="1.0" encoding="utf-8"?>
<formControlPr xmlns="http://schemas.microsoft.com/office/spreadsheetml/2009/9/main" objectType="Drop" dropStyle="combo" dx="16" fmlaLink="$C$10" fmlaRange="$C$7:$C$8" noThreeD="1" val="0"/>
</file>

<file path=xl/ctrlProps/ctrlProp7.xml><?xml version="1.0" encoding="utf-8"?>
<formControlPr xmlns="http://schemas.microsoft.com/office/spreadsheetml/2009/9/main" objectType="Drop" dropStyle="combo" dx="16" fmlaLink="$B$27" fmlaRange="$B$28:$B$29" noThreeD="1" sel="2" val="0"/>
</file>

<file path=xl/ctrlProps/ctrlProp8.xml><?xml version="1.0" encoding="utf-8"?>
<formControlPr xmlns="http://schemas.microsoft.com/office/spreadsheetml/2009/9/main" objectType="Drop" dropStyle="combo" dx="16" fmlaLink="$B$10" fmlaRange="$B$28:$B$29" noThreeD="1" sel="2" val="0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image" Target="../media/image5.png"/><Relationship Id="rId4" Type="http://schemas.openxmlformats.org/officeDocument/2006/relationships/image" Target="../media/image8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png"/><Relationship Id="rId7" Type="http://schemas.openxmlformats.org/officeDocument/2006/relationships/image" Target="../media/image8.png"/><Relationship Id="rId2" Type="http://schemas.openxmlformats.org/officeDocument/2006/relationships/image" Target="../media/image10.png"/><Relationship Id="rId1" Type="http://schemas.openxmlformats.org/officeDocument/2006/relationships/image" Target="../media/image9.png"/><Relationship Id="rId6" Type="http://schemas.openxmlformats.org/officeDocument/2006/relationships/image" Target="../media/image14.png"/><Relationship Id="rId5" Type="http://schemas.openxmlformats.org/officeDocument/2006/relationships/image" Target="../media/image13.png"/><Relationship Id="rId4" Type="http://schemas.openxmlformats.org/officeDocument/2006/relationships/image" Target="../media/image12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png"/><Relationship Id="rId2" Type="http://schemas.openxmlformats.org/officeDocument/2006/relationships/image" Target="../media/image16.png"/><Relationship Id="rId1" Type="http://schemas.openxmlformats.org/officeDocument/2006/relationships/image" Target="../media/image15.png"/><Relationship Id="rId4" Type="http://schemas.openxmlformats.org/officeDocument/2006/relationships/image" Target="../media/image18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7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0.png"/><Relationship Id="rId1" Type="http://schemas.openxmlformats.org/officeDocument/2006/relationships/image" Target="../media/image19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28.png"/><Relationship Id="rId3" Type="http://schemas.openxmlformats.org/officeDocument/2006/relationships/image" Target="../media/image23.emf"/><Relationship Id="rId7" Type="http://schemas.openxmlformats.org/officeDocument/2006/relationships/image" Target="../media/image27.png"/><Relationship Id="rId2" Type="http://schemas.openxmlformats.org/officeDocument/2006/relationships/image" Target="../media/image22.emf"/><Relationship Id="rId1" Type="http://schemas.openxmlformats.org/officeDocument/2006/relationships/image" Target="../media/image21.emf"/><Relationship Id="rId6" Type="http://schemas.openxmlformats.org/officeDocument/2006/relationships/image" Target="../media/image26.emf"/><Relationship Id="rId5" Type="http://schemas.openxmlformats.org/officeDocument/2006/relationships/image" Target="../media/image25.emf"/><Relationship Id="rId4" Type="http://schemas.openxmlformats.org/officeDocument/2006/relationships/image" Target="../media/image24.emf"/><Relationship Id="rId9" Type="http://schemas.openxmlformats.org/officeDocument/2006/relationships/image" Target="../media/image2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0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2.png"/><Relationship Id="rId1" Type="http://schemas.openxmlformats.org/officeDocument/2006/relationships/image" Target="../media/image31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5.png"/><Relationship Id="rId2" Type="http://schemas.openxmlformats.org/officeDocument/2006/relationships/image" Target="../media/image34.png"/><Relationship Id="rId1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866775</xdr:colOff>
      <xdr:row>44</xdr:row>
      <xdr:rowOff>161925</xdr:rowOff>
    </xdr:from>
    <xdr:to>
      <xdr:col>4</xdr:col>
      <xdr:colOff>485775</xdr:colOff>
      <xdr:row>55</xdr:row>
      <xdr:rowOff>152400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6375" y="8543925"/>
          <a:ext cx="3076575" cy="2085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333375</xdr:colOff>
      <xdr:row>44</xdr:row>
      <xdr:rowOff>85725</xdr:rowOff>
    </xdr:from>
    <xdr:to>
      <xdr:col>16</xdr:col>
      <xdr:colOff>180975</xdr:colOff>
      <xdr:row>55</xdr:row>
      <xdr:rowOff>104775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38950" y="8467725"/>
          <a:ext cx="4724400" cy="21145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104775</xdr:colOff>
      <xdr:row>22</xdr:row>
      <xdr:rowOff>9525</xdr:rowOff>
    </xdr:from>
    <xdr:to>
      <xdr:col>11</xdr:col>
      <xdr:colOff>209550</xdr:colOff>
      <xdr:row>24</xdr:row>
      <xdr:rowOff>41910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10175" y="4200525"/>
          <a:ext cx="4467225" cy="43243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2465705</xdr:colOff>
      <xdr:row>42</xdr:row>
      <xdr:rowOff>21590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6496050"/>
          <a:ext cx="2465705" cy="13550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</xdr:colOff>
      <xdr:row>19</xdr:row>
      <xdr:rowOff>66675</xdr:rowOff>
    </xdr:from>
    <xdr:to>
      <xdr:col>5</xdr:col>
      <xdr:colOff>390525</xdr:colOff>
      <xdr:row>21</xdr:row>
      <xdr:rowOff>28575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57675" y="3733800"/>
          <a:ext cx="2266950" cy="361950"/>
        </a:xfrm>
        <a:prstGeom prst="rect">
          <a:avLst/>
        </a:prstGeom>
      </xdr:spPr>
    </xdr:pic>
    <xdr:clientData/>
  </xdr:twoCellAnchor>
  <xdr:twoCellAnchor editAs="oneCell">
    <xdr:from>
      <xdr:col>14</xdr:col>
      <xdr:colOff>504825</xdr:colOff>
      <xdr:row>16</xdr:row>
      <xdr:rowOff>38100</xdr:rowOff>
    </xdr:from>
    <xdr:to>
      <xdr:col>20</xdr:col>
      <xdr:colOff>533400</xdr:colOff>
      <xdr:row>24</xdr:row>
      <xdr:rowOff>17780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325350" y="3133725"/>
          <a:ext cx="3686175" cy="1541780"/>
        </a:xfrm>
        <a:prstGeom prst="rect">
          <a:avLst/>
        </a:prstGeom>
      </xdr:spPr>
    </xdr:pic>
    <xdr:clientData/>
  </xdr:twoCellAnchor>
  <xdr:twoCellAnchor editAs="oneCell">
    <xdr:from>
      <xdr:col>5</xdr:col>
      <xdr:colOff>28576</xdr:colOff>
      <xdr:row>48</xdr:row>
      <xdr:rowOff>19051</xdr:rowOff>
    </xdr:from>
    <xdr:to>
      <xdr:col>12</xdr:col>
      <xdr:colOff>180976</xdr:colOff>
      <xdr:row>60</xdr:row>
      <xdr:rowOff>76201</xdr:rowOff>
    </xdr:to>
    <xdr:pic>
      <xdr:nvPicPr>
        <xdr:cNvPr id="5" name="Picture 4"/>
        <xdr:cNvPicPr/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362701" y="10287001"/>
          <a:ext cx="4419600" cy="2343150"/>
        </a:xfrm>
        <a:prstGeom prst="rect">
          <a:avLst/>
        </a:prstGeom>
      </xdr:spPr>
    </xdr:pic>
    <xdr:clientData/>
  </xdr:twoCellAnchor>
  <xdr:twoCellAnchor editAs="oneCell">
    <xdr:from>
      <xdr:col>4</xdr:col>
      <xdr:colOff>57150</xdr:colOff>
      <xdr:row>124</xdr:row>
      <xdr:rowOff>47625</xdr:rowOff>
    </xdr:from>
    <xdr:to>
      <xdr:col>10</xdr:col>
      <xdr:colOff>415290</xdr:colOff>
      <xdr:row>126</xdr:row>
      <xdr:rowOff>177800</xdr:rowOff>
    </xdr:to>
    <xdr:pic>
      <xdr:nvPicPr>
        <xdr:cNvPr id="6" name="Picture 5"/>
        <xdr:cNvPicPr/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781675" y="24945975"/>
          <a:ext cx="4015740" cy="511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833437</xdr:colOff>
      <xdr:row>133</xdr:row>
      <xdr:rowOff>80962</xdr:rowOff>
    </xdr:from>
    <xdr:to>
      <xdr:col>7</xdr:col>
      <xdr:colOff>485775</xdr:colOff>
      <xdr:row>146</xdr:row>
      <xdr:rowOff>38100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261937</xdr:colOff>
      <xdr:row>133</xdr:row>
      <xdr:rowOff>138112</xdr:rowOff>
    </xdr:from>
    <xdr:to>
      <xdr:col>20</xdr:col>
      <xdr:colOff>533400</xdr:colOff>
      <xdr:row>145</xdr:row>
      <xdr:rowOff>161925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338137</xdr:colOff>
      <xdr:row>179</xdr:row>
      <xdr:rowOff>157162</xdr:rowOff>
    </xdr:from>
    <xdr:to>
      <xdr:col>9</xdr:col>
      <xdr:colOff>504825</xdr:colOff>
      <xdr:row>194</xdr:row>
      <xdr:rowOff>38100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13</xdr:col>
      <xdr:colOff>214312</xdr:colOff>
      <xdr:row>179</xdr:row>
      <xdr:rowOff>119062</xdr:rowOff>
    </xdr:from>
    <xdr:to>
      <xdr:col>20</xdr:col>
      <xdr:colOff>519112</xdr:colOff>
      <xdr:row>194</xdr:row>
      <xdr:rowOff>4762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300037</xdr:colOff>
      <xdr:row>218</xdr:row>
      <xdr:rowOff>119062</xdr:rowOff>
    </xdr:from>
    <xdr:to>
      <xdr:col>9</xdr:col>
      <xdr:colOff>23812</xdr:colOff>
      <xdr:row>233</xdr:row>
      <xdr:rowOff>4762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13</xdr:col>
      <xdr:colOff>395287</xdr:colOff>
      <xdr:row>218</xdr:row>
      <xdr:rowOff>119062</xdr:rowOff>
    </xdr:from>
    <xdr:to>
      <xdr:col>21</xdr:col>
      <xdr:colOff>90487</xdr:colOff>
      <xdr:row>233</xdr:row>
      <xdr:rowOff>4762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1109662</xdr:colOff>
      <xdr:row>30</xdr:row>
      <xdr:rowOff>33337</xdr:rowOff>
    </xdr:from>
    <xdr:to>
      <xdr:col>10</xdr:col>
      <xdr:colOff>223837</xdr:colOff>
      <xdr:row>44</xdr:row>
      <xdr:rowOff>109537</xdr:rowOff>
    </xdr:to>
    <xdr:graphicFrame macro="">
      <xdr:nvGraphicFramePr>
        <xdr:cNvPr id="10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190500</xdr:colOff>
      <xdr:row>58</xdr:row>
      <xdr:rowOff>119062</xdr:rowOff>
    </xdr:from>
    <xdr:to>
      <xdr:col>11</xdr:col>
      <xdr:colOff>809625</xdr:colOff>
      <xdr:row>73</xdr:row>
      <xdr:rowOff>4762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190500</xdr:colOff>
      <xdr:row>93</xdr:row>
      <xdr:rowOff>119062</xdr:rowOff>
    </xdr:from>
    <xdr:to>
      <xdr:col>11</xdr:col>
      <xdr:colOff>809625</xdr:colOff>
      <xdr:row>108</xdr:row>
      <xdr:rowOff>4762</xdr:rowOff>
    </xdr:to>
    <xdr:graphicFrame macro="">
      <xdr:nvGraphicFramePr>
        <xdr:cNvPr id="12" name="Chart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209550</xdr:colOff>
      <xdr:row>109</xdr:row>
      <xdr:rowOff>76200</xdr:rowOff>
    </xdr:from>
    <xdr:to>
      <xdr:col>6</xdr:col>
      <xdr:colOff>828675</xdr:colOff>
      <xdr:row>117</xdr:row>
      <xdr:rowOff>19050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19725" y="20964525"/>
          <a:ext cx="2190750" cy="1504950"/>
        </a:xfrm>
        <a:prstGeom prst="rect">
          <a:avLst/>
        </a:prstGeom>
      </xdr:spPr>
    </xdr:pic>
    <xdr:clientData/>
  </xdr:twoCellAnchor>
  <xdr:twoCellAnchor editAs="oneCell">
    <xdr:from>
      <xdr:col>6</xdr:col>
      <xdr:colOff>276225</xdr:colOff>
      <xdr:row>128</xdr:row>
      <xdr:rowOff>0</xdr:rowOff>
    </xdr:from>
    <xdr:to>
      <xdr:col>7</xdr:col>
      <xdr:colOff>685800</xdr:colOff>
      <xdr:row>130</xdr:row>
      <xdr:rowOff>28575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943725" y="24545925"/>
          <a:ext cx="1666875" cy="409575"/>
        </a:xfrm>
        <a:prstGeom prst="rect">
          <a:avLst/>
        </a:prstGeom>
      </xdr:spPr>
    </xdr:pic>
    <xdr:clientData/>
  </xdr:twoCellAnchor>
  <xdr:twoCellAnchor editAs="oneCell">
    <xdr:from>
      <xdr:col>7</xdr:col>
      <xdr:colOff>2228850</xdr:colOff>
      <xdr:row>138</xdr:row>
      <xdr:rowOff>57150</xdr:rowOff>
    </xdr:from>
    <xdr:to>
      <xdr:col>10</xdr:col>
      <xdr:colOff>219075</xdr:colOff>
      <xdr:row>147</xdr:row>
      <xdr:rowOff>19050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153650" y="26527125"/>
          <a:ext cx="2762250" cy="1695450"/>
        </a:xfrm>
        <a:prstGeom prst="rect">
          <a:avLst/>
        </a:prstGeom>
      </xdr:spPr>
    </xdr:pic>
    <xdr:clientData/>
  </xdr:twoCellAnchor>
  <xdr:twoCellAnchor editAs="oneCell">
    <xdr:from>
      <xdr:col>5</xdr:col>
      <xdr:colOff>828675</xdr:colOff>
      <xdr:row>142</xdr:row>
      <xdr:rowOff>152400</xdr:rowOff>
    </xdr:from>
    <xdr:to>
      <xdr:col>7</xdr:col>
      <xdr:colOff>137795</xdr:colOff>
      <xdr:row>145</xdr:row>
      <xdr:rowOff>29845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648450" y="26993850"/>
          <a:ext cx="1528445" cy="448945"/>
        </a:xfrm>
        <a:prstGeom prst="rect">
          <a:avLst/>
        </a:prstGeom>
      </xdr:spPr>
    </xdr:pic>
    <xdr:clientData/>
  </xdr:twoCellAnchor>
  <xdr:twoCellAnchor editAs="oneCell">
    <xdr:from>
      <xdr:col>8</xdr:col>
      <xdr:colOff>57149</xdr:colOff>
      <xdr:row>124</xdr:row>
      <xdr:rowOff>76200</xdr:rowOff>
    </xdr:from>
    <xdr:to>
      <xdr:col>10</xdr:col>
      <xdr:colOff>561974</xdr:colOff>
      <xdr:row>136</xdr:row>
      <xdr:rowOff>28575</xdr:rowOff>
    </xdr:to>
    <xdr:pic>
      <xdr:nvPicPr>
        <xdr:cNvPr id="6" name="Picture 5"/>
        <xdr:cNvPicPr/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239374" y="23879175"/>
          <a:ext cx="3019425" cy="2238375"/>
        </a:xfrm>
        <a:prstGeom prst="rect">
          <a:avLst/>
        </a:prstGeom>
      </xdr:spPr>
    </xdr:pic>
    <xdr:clientData/>
  </xdr:twoCellAnchor>
  <xdr:twoCellAnchor editAs="oneCell">
    <xdr:from>
      <xdr:col>10</xdr:col>
      <xdr:colOff>295275</xdr:colOff>
      <xdr:row>110</xdr:row>
      <xdr:rowOff>0</xdr:rowOff>
    </xdr:from>
    <xdr:to>
      <xdr:col>13</xdr:col>
      <xdr:colOff>368300</xdr:colOff>
      <xdr:row>112</xdr:row>
      <xdr:rowOff>5080</xdr:rowOff>
    </xdr:to>
    <xdr:pic>
      <xdr:nvPicPr>
        <xdr:cNvPr id="7" name="Picture 6"/>
        <xdr:cNvPicPr/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2992100" y="21078825"/>
          <a:ext cx="2130425" cy="395605"/>
        </a:xfrm>
        <a:prstGeom prst="rect">
          <a:avLst/>
        </a:prstGeom>
      </xdr:spPr>
    </xdr:pic>
    <xdr:clientData/>
  </xdr:twoCellAnchor>
  <xdr:twoCellAnchor editAs="oneCell">
    <xdr:from>
      <xdr:col>4</xdr:col>
      <xdr:colOff>57150</xdr:colOff>
      <xdr:row>191</xdr:row>
      <xdr:rowOff>47625</xdr:rowOff>
    </xdr:from>
    <xdr:to>
      <xdr:col>7</xdr:col>
      <xdr:colOff>1243965</xdr:colOff>
      <xdr:row>193</xdr:row>
      <xdr:rowOff>177800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5781675" y="24945975"/>
          <a:ext cx="4015740" cy="51117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19</xdr:row>
          <xdr:rowOff>9525</xdr:rowOff>
        </xdr:from>
        <xdr:to>
          <xdr:col>9</xdr:col>
          <xdr:colOff>9525</xdr:colOff>
          <xdr:row>19</xdr:row>
          <xdr:rowOff>180975</xdr:rowOff>
        </xdr:to>
        <xdr:sp macro="" textlink="">
          <xdr:nvSpPr>
            <xdr:cNvPr id="5122" name="Drop Down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19</xdr:row>
          <xdr:rowOff>9525</xdr:rowOff>
        </xdr:from>
        <xdr:to>
          <xdr:col>3</xdr:col>
          <xdr:colOff>0</xdr:colOff>
          <xdr:row>20</xdr:row>
          <xdr:rowOff>28575</xdr:rowOff>
        </xdr:to>
        <xdr:sp macro="" textlink="">
          <xdr:nvSpPr>
            <xdr:cNvPr id="5123" name="Drop Down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13</xdr:row>
          <xdr:rowOff>28575</xdr:rowOff>
        </xdr:from>
        <xdr:to>
          <xdr:col>3</xdr:col>
          <xdr:colOff>0</xdr:colOff>
          <xdr:row>13</xdr:row>
          <xdr:rowOff>180975</xdr:rowOff>
        </xdr:to>
        <xdr:sp macro="" textlink="">
          <xdr:nvSpPr>
            <xdr:cNvPr id="5124" name="Drop Down 4" hidden="1">
              <a:extLst>
                <a:ext uri="{63B3BB69-23CF-44E3-9099-C40C66FF867C}">
                  <a14:compatExt spid="_x0000_s51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38</xdr:row>
          <xdr:rowOff>0</xdr:rowOff>
        </xdr:from>
        <xdr:to>
          <xdr:col>3</xdr:col>
          <xdr:colOff>19050</xdr:colOff>
          <xdr:row>38</xdr:row>
          <xdr:rowOff>180975</xdr:rowOff>
        </xdr:to>
        <xdr:sp macro="" textlink="">
          <xdr:nvSpPr>
            <xdr:cNvPr id="5126" name="Drop Down 6" hidden="1">
              <a:extLst>
                <a:ext uri="{63B3BB69-23CF-44E3-9099-C40C66FF867C}">
                  <a14:compatExt spid="_x0000_s5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38</xdr:row>
          <xdr:rowOff>9525</xdr:rowOff>
        </xdr:from>
        <xdr:to>
          <xdr:col>9</xdr:col>
          <xdr:colOff>0</xdr:colOff>
          <xdr:row>39</xdr:row>
          <xdr:rowOff>0</xdr:rowOff>
        </xdr:to>
        <xdr:sp macro="" textlink="">
          <xdr:nvSpPr>
            <xdr:cNvPr id="5127" name="Drop Down 7" hidden="1">
              <a:extLst>
                <a:ext uri="{63B3BB69-23CF-44E3-9099-C40C66FF867C}">
                  <a14:compatExt spid="_x0000_s5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457200</xdr:colOff>
      <xdr:row>47</xdr:row>
      <xdr:rowOff>9525</xdr:rowOff>
    </xdr:from>
    <xdr:to>
      <xdr:col>16</xdr:col>
      <xdr:colOff>200025</xdr:colOff>
      <xdr:row>48</xdr:row>
      <xdr:rowOff>57150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29700" y="8801100"/>
          <a:ext cx="157162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19050</xdr:colOff>
      <xdr:row>93</xdr:row>
      <xdr:rowOff>57150</xdr:rowOff>
    </xdr:from>
    <xdr:to>
      <xdr:col>7</xdr:col>
      <xdr:colOff>530225</xdr:colOff>
      <xdr:row>102</xdr:row>
      <xdr:rowOff>66040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105150" y="17668875"/>
          <a:ext cx="2339975" cy="1723390"/>
        </a:xfrm>
        <a:prstGeom prst="rect">
          <a:avLst/>
        </a:prstGeom>
      </xdr:spPr>
    </xdr:pic>
    <xdr:clientData/>
  </xdr:twoCellAnchor>
  <xdr:twoCellAnchor editAs="oneCell">
    <xdr:from>
      <xdr:col>8</xdr:col>
      <xdr:colOff>133350</xdr:colOff>
      <xdr:row>29</xdr:row>
      <xdr:rowOff>47625</xdr:rowOff>
    </xdr:from>
    <xdr:to>
      <xdr:col>11</xdr:col>
      <xdr:colOff>590550</xdr:colOff>
      <xdr:row>35</xdr:row>
      <xdr:rowOff>47625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010150" y="5381625"/>
          <a:ext cx="2286000" cy="1143000"/>
        </a:xfrm>
        <a:prstGeom prst="rect">
          <a:avLst/>
        </a:prstGeom>
      </xdr:spPr>
    </xdr:pic>
    <xdr:clientData/>
  </xdr:twoCellAnchor>
  <xdr:twoCellAnchor editAs="oneCell">
    <xdr:from>
      <xdr:col>11</xdr:col>
      <xdr:colOff>19050</xdr:colOff>
      <xdr:row>74</xdr:row>
      <xdr:rowOff>19050</xdr:rowOff>
    </xdr:from>
    <xdr:to>
      <xdr:col>14</xdr:col>
      <xdr:colOff>0</xdr:colOff>
      <xdr:row>79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067550" y="13992225"/>
          <a:ext cx="1809750" cy="10382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36</xdr:row>
      <xdr:rowOff>0</xdr:rowOff>
    </xdr:from>
    <xdr:to>
      <xdr:col>4</xdr:col>
      <xdr:colOff>457200</xdr:colOff>
      <xdr:row>42</xdr:row>
      <xdr:rowOff>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2667000"/>
          <a:ext cx="2286000" cy="1143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23</xdr:row>
      <xdr:rowOff>0</xdr:rowOff>
    </xdr:from>
    <xdr:to>
      <xdr:col>5</xdr:col>
      <xdr:colOff>595630</xdr:colOff>
      <xdr:row>26</xdr:row>
      <xdr:rowOff>59055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857500"/>
          <a:ext cx="3643630" cy="630555"/>
        </a:xfrm>
        <a:prstGeom prst="rect">
          <a:avLst/>
        </a:prstGeom>
      </xdr:spPr>
    </xdr:pic>
    <xdr:clientData/>
  </xdr:twoCellAnchor>
  <xdr:twoCellAnchor editAs="oneCell">
    <xdr:from>
      <xdr:col>6</xdr:col>
      <xdr:colOff>600075</xdr:colOff>
      <xdr:row>23</xdr:row>
      <xdr:rowOff>9524</xdr:rowOff>
    </xdr:from>
    <xdr:to>
      <xdr:col>13</xdr:col>
      <xdr:colOff>123825</xdr:colOff>
      <xdr:row>33</xdr:row>
      <xdr:rowOff>133349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257675" y="2867024"/>
          <a:ext cx="3790950" cy="202882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8</xdr:row>
          <xdr:rowOff>180975</xdr:rowOff>
        </xdr:from>
        <xdr:to>
          <xdr:col>5</xdr:col>
          <xdr:colOff>9525</xdr:colOff>
          <xdr:row>10</xdr:row>
          <xdr:rowOff>19050</xdr:rowOff>
        </xdr:to>
        <xdr:sp macro="" textlink="">
          <xdr:nvSpPr>
            <xdr:cNvPr id="7169" name="Drop Down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647700</xdr:colOff>
      <xdr:row>48</xdr:row>
      <xdr:rowOff>19050</xdr:rowOff>
    </xdr:from>
    <xdr:to>
      <xdr:col>1</xdr:col>
      <xdr:colOff>1548130</xdr:colOff>
      <xdr:row>50</xdr:row>
      <xdr:rowOff>82550</xdr:rowOff>
    </xdr:to>
    <xdr:pic>
      <xdr:nvPicPr>
        <xdr:cNvPr id="11" name="Picture 10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10372725"/>
          <a:ext cx="900430" cy="4445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9525</xdr:colOff>
      <xdr:row>48</xdr:row>
      <xdr:rowOff>0</xdr:rowOff>
    </xdr:from>
    <xdr:to>
      <xdr:col>9</xdr:col>
      <xdr:colOff>605155</xdr:colOff>
      <xdr:row>50</xdr:row>
      <xdr:rowOff>20320</xdr:rowOff>
    </xdr:to>
    <xdr:pic>
      <xdr:nvPicPr>
        <xdr:cNvPr id="12" name="Picture 11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4225" y="10353675"/>
          <a:ext cx="1814830" cy="40132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752475</xdr:colOff>
      <xdr:row>54</xdr:row>
      <xdr:rowOff>171450</xdr:rowOff>
    </xdr:from>
    <xdr:to>
      <xdr:col>1</xdr:col>
      <xdr:colOff>1734820</xdr:colOff>
      <xdr:row>57</xdr:row>
      <xdr:rowOff>36830</xdr:rowOff>
    </xdr:to>
    <xdr:pic>
      <xdr:nvPicPr>
        <xdr:cNvPr id="13" name="Picture 12"/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2075" y="11668125"/>
          <a:ext cx="982345" cy="436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561975</xdr:colOff>
      <xdr:row>55</xdr:row>
      <xdr:rowOff>9525</xdr:rowOff>
    </xdr:from>
    <xdr:to>
      <xdr:col>9</xdr:col>
      <xdr:colOff>473075</xdr:colOff>
      <xdr:row>58</xdr:row>
      <xdr:rowOff>59055</xdr:rowOff>
    </xdr:to>
    <xdr:pic>
      <xdr:nvPicPr>
        <xdr:cNvPr id="14" name="Picture 13"/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77075" y="11696700"/>
          <a:ext cx="1739900" cy="6210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704850</xdr:colOff>
      <xdr:row>63</xdr:row>
      <xdr:rowOff>9525</xdr:rowOff>
    </xdr:from>
    <xdr:to>
      <xdr:col>2</xdr:col>
      <xdr:colOff>555625</xdr:colOff>
      <xdr:row>65</xdr:row>
      <xdr:rowOff>85725</xdr:rowOff>
    </xdr:to>
    <xdr:pic>
      <xdr:nvPicPr>
        <xdr:cNvPr id="15" name="Picture 14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4450" y="13220700"/>
          <a:ext cx="2012950" cy="4572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9525</xdr:colOff>
      <xdr:row>62</xdr:row>
      <xdr:rowOff>180975</xdr:rowOff>
    </xdr:from>
    <xdr:to>
      <xdr:col>12</xdr:col>
      <xdr:colOff>494030</xdr:colOff>
      <xdr:row>67</xdr:row>
      <xdr:rowOff>40640</xdr:rowOff>
    </xdr:to>
    <xdr:pic>
      <xdr:nvPicPr>
        <xdr:cNvPr id="16" name="Picture 15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4625" y="13201650"/>
          <a:ext cx="4142105" cy="81216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1123950</xdr:colOff>
      <xdr:row>71</xdr:row>
      <xdr:rowOff>38100</xdr:rowOff>
    </xdr:from>
    <xdr:to>
      <xdr:col>1</xdr:col>
      <xdr:colOff>1711960</xdr:colOff>
      <xdr:row>73</xdr:row>
      <xdr:rowOff>25400</xdr:rowOff>
    </xdr:to>
    <xdr:pic>
      <xdr:nvPicPr>
        <xdr:cNvPr id="17" name="Picture 16"/>
        <xdr:cNvPicPr/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733550" y="14773275"/>
          <a:ext cx="588010" cy="368300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</xdr:colOff>
      <xdr:row>72</xdr:row>
      <xdr:rowOff>152400</xdr:rowOff>
    </xdr:from>
    <xdr:to>
      <xdr:col>3</xdr:col>
      <xdr:colOff>530225</xdr:colOff>
      <xdr:row>76</xdr:row>
      <xdr:rowOff>154305</xdr:rowOff>
    </xdr:to>
    <xdr:pic>
      <xdr:nvPicPr>
        <xdr:cNvPr id="18" name="Picture 17"/>
        <xdr:cNvPicPr/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790825" y="15078075"/>
          <a:ext cx="2149475" cy="763905"/>
        </a:xfrm>
        <a:prstGeom prst="rect">
          <a:avLst/>
        </a:prstGeom>
      </xdr:spPr>
    </xdr:pic>
    <xdr:clientData/>
  </xdr:twoCellAnchor>
  <xdr:twoCellAnchor editAs="oneCell">
    <xdr:from>
      <xdr:col>6</xdr:col>
      <xdr:colOff>57150</xdr:colOff>
      <xdr:row>78</xdr:row>
      <xdr:rowOff>9525</xdr:rowOff>
    </xdr:from>
    <xdr:to>
      <xdr:col>7</xdr:col>
      <xdr:colOff>340995</xdr:colOff>
      <xdr:row>82</xdr:row>
      <xdr:rowOff>85090</xdr:rowOff>
    </xdr:to>
    <xdr:pic>
      <xdr:nvPicPr>
        <xdr:cNvPr id="19" name="Picture 18"/>
        <xdr:cNvPicPr/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572250" y="16078200"/>
          <a:ext cx="893445" cy="83756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609599</xdr:colOff>
      <xdr:row>30</xdr:row>
      <xdr:rowOff>28574</xdr:rowOff>
    </xdr:from>
    <xdr:to>
      <xdr:col>15</xdr:col>
      <xdr:colOff>581025</xdr:colOff>
      <xdr:row>40</xdr:row>
      <xdr:rowOff>114300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15224" y="5762624"/>
          <a:ext cx="4848226" cy="200977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28575</xdr:colOff>
      <xdr:row>10</xdr:row>
      <xdr:rowOff>133350</xdr:rowOff>
    </xdr:from>
    <xdr:ext cx="3479800" cy="429260"/>
    <xdr:pic>
      <xdr:nvPicPr>
        <xdr:cNvPr id="7" name="Picture 6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38650" y="2038350"/>
          <a:ext cx="3479800" cy="429260"/>
        </a:xfrm>
        <a:prstGeom prst="rect">
          <a:avLst/>
        </a:prstGeom>
      </xdr:spPr>
    </xdr:pic>
    <xdr:clientData/>
  </xdr:oneCellAnchor>
  <xdr:oneCellAnchor>
    <xdr:from>
      <xdr:col>5</xdr:col>
      <xdr:colOff>57150</xdr:colOff>
      <xdr:row>13</xdr:row>
      <xdr:rowOff>85725</xdr:rowOff>
    </xdr:from>
    <xdr:ext cx="3684270" cy="441325"/>
    <xdr:pic>
      <xdr:nvPicPr>
        <xdr:cNvPr id="8" name="Picture 7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467225" y="2562225"/>
          <a:ext cx="3684270" cy="441325"/>
        </a:xfrm>
        <a:prstGeom prst="rect">
          <a:avLst/>
        </a:prstGeom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26</xdr:row>
          <xdr:rowOff>0</xdr:rowOff>
        </xdr:from>
        <xdr:to>
          <xdr:col>1</xdr:col>
          <xdr:colOff>1619250</xdr:colOff>
          <xdr:row>27</xdr:row>
          <xdr:rowOff>9525</xdr:rowOff>
        </xdr:to>
        <xdr:sp macro="" textlink="">
          <xdr:nvSpPr>
            <xdr:cNvPr id="24581" name="Drop Down 5" hidden="1">
              <a:extLst>
                <a:ext uri="{63B3BB69-23CF-44E3-9099-C40C66FF867C}">
                  <a14:compatExt spid="_x0000_s245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9</xdr:row>
          <xdr:rowOff>9525</xdr:rowOff>
        </xdr:from>
        <xdr:to>
          <xdr:col>1</xdr:col>
          <xdr:colOff>1628775</xdr:colOff>
          <xdr:row>10</xdr:row>
          <xdr:rowOff>19050</xdr:rowOff>
        </xdr:to>
        <xdr:sp macro="" textlink="">
          <xdr:nvSpPr>
            <xdr:cNvPr id="24583" name="Drop Down 7" hidden="1">
              <a:extLst>
                <a:ext uri="{63B3BB69-23CF-44E3-9099-C40C66FF867C}">
                  <a14:compatExt spid="_x0000_s245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4</xdr:row>
      <xdr:rowOff>19050</xdr:rowOff>
    </xdr:from>
    <xdr:to>
      <xdr:col>2</xdr:col>
      <xdr:colOff>276225</xdr:colOff>
      <xdr:row>6</xdr:row>
      <xdr:rowOff>95250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38175" y="781050"/>
          <a:ext cx="2200275" cy="4572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</xdr:row>
      <xdr:rowOff>9525</xdr:rowOff>
    </xdr:from>
    <xdr:to>
      <xdr:col>4</xdr:col>
      <xdr:colOff>76200</xdr:colOff>
      <xdr:row>16</xdr:row>
      <xdr:rowOff>161925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2867025"/>
          <a:ext cx="3248025" cy="342900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20</xdr:row>
      <xdr:rowOff>66675</xdr:rowOff>
    </xdr:from>
    <xdr:to>
      <xdr:col>2</xdr:col>
      <xdr:colOff>552450</xdr:colOff>
      <xdr:row>22</xdr:row>
      <xdr:rowOff>76200</xdr:rowOff>
    </xdr:to>
    <xdr:pic>
      <xdr:nvPicPr>
        <xdr:cNvPr id="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175" y="3876675"/>
          <a:ext cx="24765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Book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4"/>
      <sheetName val="Sheet3"/>
      <sheetName val="Sheet5"/>
      <sheetName val="Sheet1"/>
      <sheetName val="some stats example"/>
    </sheetNames>
    <sheetDataSet>
      <sheetData sheetId="0" refreshError="1"/>
      <sheetData sheetId="1">
        <row r="2">
          <cell r="C2">
            <v>2.1013896570120857E-2</v>
          </cell>
          <cell r="F2">
            <v>7.8973346495557813E-3</v>
          </cell>
          <cell r="J2">
            <v>5.1516886090440753E-3</v>
          </cell>
          <cell r="N2">
            <v>2.7812543457094932E-4</v>
          </cell>
          <cell r="R2">
            <v>9.3886918422699771E-3</v>
          </cell>
          <cell r="V2">
            <v>-1.0714285714285697E-2</v>
          </cell>
          <cell r="Y2">
            <v>2.6586102719033257E-2</v>
          </cell>
        </row>
        <row r="3">
          <cell r="C3">
            <v>-1.288134137701433E-3</v>
          </cell>
          <cell r="F3">
            <v>3.8841174208434831E-2</v>
          </cell>
          <cell r="J3">
            <v>2.463343108504399E-2</v>
          </cell>
          <cell r="N3">
            <v>-9.7769209584135357E-3</v>
          </cell>
          <cell r="R3">
            <v>2.3707817172148656E-2</v>
          </cell>
          <cell r="V3">
            <v>3.5332785538208684E-2</v>
          </cell>
          <cell r="Y3">
            <v>-8.31024930747922E-2</v>
          </cell>
        </row>
        <row r="4">
          <cell r="C4">
            <v>-2.6065391233931197E-3</v>
          </cell>
          <cell r="F4">
            <v>-2.4509190946604899E-2</v>
          </cell>
          <cell r="J4">
            <v>3.3959975742874467E-2</v>
          </cell>
          <cell r="N4">
            <v>4.3940773395946049E-2</v>
          </cell>
          <cell r="R4">
            <v>2.4059492563429572E-2</v>
          </cell>
          <cell r="V4">
            <v>5.1403887688984941E-2</v>
          </cell>
          <cell r="Y4">
            <v>-1.6348773841961869E-2</v>
          </cell>
        </row>
        <row r="5">
          <cell r="C5">
            <v>9.4875019650997768E-3</v>
          </cell>
          <cell r="F5">
            <v>4.5496143286704198E-2</v>
          </cell>
          <cell r="J5">
            <v>3.1269543464665414E-2</v>
          </cell>
          <cell r="N5">
            <v>2.3692730305111442E-2</v>
          </cell>
          <cell r="R5">
            <v>8.8261253309796991E-3</v>
          </cell>
          <cell r="V5">
            <v>7.8363082281236278E-3</v>
          </cell>
          <cell r="Y5">
            <v>0.14472863381160322</v>
          </cell>
        </row>
        <row r="6">
          <cell r="C6">
            <v>1.662747699063253E-2</v>
          </cell>
          <cell r="F6">
            <v>-3.409521404217708E-2</v>
          </cell>
          <cell r="J6">
            <v>-4.0216086434573826E-2</v>
          </cell>
          <cell r="N6">
            <v>1.3472532935620139E-2</v>
          </cell>
          <cell r="R6">
            <v>-3.3482618895286843E-2</v>
          </cell>
          <cell r="V6">
            <v>-2.0051194539249247E-2</v>
          </cell>
          <cell r="Y6">
            <v>-3.7290242386575547E-3</v>
          </cell>
        </row>
        <row r="7">
          <cell r="C7">
            <v>-4.1857235791119595E-3</v>
          </cell>
          <cell r="F7">
            <v>3.0583029672045733E-2</v>
          </cell>
          <cell r="J7">
            <v>-2.9137529137529136E-2</v>
          </cell>
          <cell r="N7">
            <v>-5.8320565412939033E-3</v>
          </cell>
          <cell r="R7">
            <v>-9.5057034220532317E-3</v>
          </cell>
          <cell r="V7">
            <v>4.0390590324012432E-2</v>
          </cell>
          <cell r="Y7">
            <v>-0.12885760693015702</v>
          </cell>
        </row>
        <row r="8">
          <cell r="C8">
            <v>1.3713520522888472E-2</v>
          </cell>
          <cell r="F8">
            <v>6.3087991145545128E-2</v>
          </cell>
          <cell r="J8">
            <v>-3.1055900621118012E-2</v>
          </cell>
          <cell r="N8">
            <v>-6.2865281665929742E-3</v>
          </cell>
          <cell r="R8">
            <v>-4.2069835927639881E-3</v>
          </cell>
          <cell r="V8">
            <v>-7.4889867841408881E-3</v>
          </cell>
          <cell r="Y8">
            <v>-0.11159211159211169</v>
          </cell>
        </row>
        <row r="9">
          <cell r="C9">
            <v>1.3829567549995075E-2</v>
          </cell>
          <cell r="F9">
            <v>-7.3452121522881733E-2</v>
          </cell>
          <cell r="J9">
            <v>-7.8431372549019607E-3</v>
          </cell>
          <cell r="N9">
            <v>9.5696152320507519E-3</v>
          </cell>
          <cell r="R9">
            <v>-1.7159396320033077E-2</v>
          </cell>
          <cell r="V9">
            <v>-2.197802197802229E-3</v>
          </cell>
          <cell r="Y9">
            <v>-0.23340707964601767</v>
          </cell>
        </row>
        <row r="10">
          <cell r="C10">
            <v>1.0570662897923648E-2</v>
          </cell>
          <cell r="F10">
            <v>6.2661762702629187E-2</v>
          </cell>
          <cell r="J10">
            <v>1.6835016835016834E-3</v>
          </cell>
          <cell r="N10">
            <v>-4.786577843572685E-3</v>
          </cell>
          <cell r="R10">
            <v>-3.2969297341850401E-3</v>
          </cell>
          <cell r="V10">
            <v>7.975188303057143E-3</v>
          </cell>
          <cell r="Y10">
            <v>7.6617705438666153E-2</v>
          </cell>
        </row>
        <row r="11">
          <cell r="C11">
            <v>1.1701920845849555E-2</v>
          </cell>
          <cell r="F11">
            <v>1.0044028618601949E-2</v>
          </cell>
          <cell r="J11">
            <v>-3.3557046979865771E-3</v>
          </cell>
          <cell r="N11">
            <v>-9.8695460985977652E-3</v>
          </cell>
          <cell r="R11">
            <v>6.2201948994401821E-3</v>
          </cell>
          <cell r="V11">
            <v>-2.5474956822107073E-2</v>
          </cell>
          <cell r="Y11">
            <v>-0.2396619378207063</v>
          </cell>
        </row>
        <row r="12">
          <cell r="C12">
            <v>1.8434229462407744E-2</v>
          </cell>
          <cell r="F12">
            <v>-1.5309578647879629E-2</v>
          </cell>
          <cell r="J12">
            <v>-2.9842647856755292E-2</v>
          </cell>
          <cell r="N12">
            <v>2.1053662358009959E-3</v>
          </cell>
          <cell r="R12">
            <v>-3.5207041408281653E-2</v>
          </cell>
          <cell r="V12">
            <v>1.7301038062283367E-3</v>
          </cell>
          <cell r="Y12">
            <v>0.14517801590044949</v>
          </cell>
        </row>
        <row r="13">
          <cell r="C13">
            <v>-1.5218571731068014E-2</v>
          </cell>
          <cell r="F13">
            <v>3.0146545708304207E-2</v>
          </cell>
          <cell r="J13">
            <v>-2.2281167108753316E-2</v>
          </cell>
          <cell r="N13">
            <v>-9.6974398758727688E-3</v>
          </cell>
          <cell r="R13">
            <v>-3.3822960958639348E-2</v>
          </cell>
          <cell r="V13">
            <v>-3.0607966457023076E-2</v>
          </cell>
          <cell r="Y13">
            <v>0.15075576770087512</v>
          </cell>
        </row>
        <row r="14">
          <cell r="C14">
            <v>3.1968838795026779E-3</v>
          </cell>
          <cell r="F14">
            <v>-2.5965198477433341E-2</v>
          </cell>
          <cell r="J14">
            <v>-3.6997885835095136E-3</v>
          </cell>
          <cell r="N14">
            <v>2.5764425647757435E-3</v>
          </cell>
          <cell r="R14">
            <v>-4.8086170417387959E-3</v>
          </cell>
          <cell r="V14">
            <v>-1.8114450391107359E-2</v>
          </cell>
          <cell r="Y14">
            <v>-3.6781609195402333E-2</v>
          </cell>
        </row>
        <row r="15">
          <cell r="C15">
            <v>7.5097633280288593E-3</v>
          </cell>
          <cell r="F15">
            <v>2.9819403611927694E-2</v>
          </cell>
          <cell r="J15">
            <v>-2.0703933747412008E-2</v>
          </cell>
          <cell r="N15">
            <v>1.781208252931572E-2</v>
          </cell>
          <cell r="R15">
            <v>-1.2160364810944329E-2</v>
          </cell>
          <cell r="V15">
            <v>1.7595307917888485E-2</v>
          </cell>
          <cell r="Y15">
            <v>4.7771979124849366E-2</v>
          </cell>
        </row>
        <row r="16">
          <cell r="C16">
            <v>2.4937179244934642E-2</v>
          </cell>
          <cell r="F16">
            <v>2.8078056998456103E-3</v>
          </cell>
          <cell r="J16">
            <v>3.7037037037037035E-2</v>
          </cell>
          <cell r="N16">
            <v>1.1409698243506959E-2</v>
          </cell>
          <cell r="R16">
            <v>9.0107361963190184E-3</v>
          </cell>
          <cell r="V16">
            <v>3.9181541140618295E-2</v>
          </cell>
          <cell r="Y16">
            <v>-3.4870205346764764E-2</v>
          </cell>
        </row>
        <row r="17">
          <cell r="C17">
            <v>2.119866017502994E-3</v>
          </cell>
          <cell r="F17">
            <v>-3.8342108815984738E-2</v>
          </cell>
          <cell r="J17">
            <v>2.691065662002153E-3</v>
          </cell>
          <cell r="N17">
            <v>-3.5103814582327399E-2</v>
          </cell>
          <cell r="R17">
            <v>-1.5849056603773583E-2</v>
          </cell>
          <cell r="V17">
            <v>-9.9215686274509843E-2</v>
          </cell>
          <cell r="Y17">
            <v>-8.2800284292821644E-2</v>
          </cell>
        </row>
        <row r="18">
          <cell r="C18">
            <v>7.7401553733654352E-3</v>
          </cell>
          <cell r="F18">
            <v>-1.9459888800635598E-2</v>
          </cell>
          <cell r="J18">
            <v>2.6983270372369131E-3</v>
          </cell>
          <cell r="N18">
            <v>3.4362201578263883E-2</v>
          </cell>
          <cell r="R18">
            <v>-4.3208716888972383E-3</v>
          </cell>
          <cell r="V18">
            <v>4.8088779284833613E-2</v>
          </cell>
          <cell r="Y18">
            <v>-1.4360770577933423E-2</v>
          </cell>
        </row>
        <row r="19">
          <cell r="C19">
            <v>1.003983145843388E-2</v>
          </cell>
          <cell r="F19">
            <v>-4.6119383317959452E-3</v>
          </cell>
          <cell r="J19">
            <v>-8.0299785867237686E-3</v>
          </cell>
          <cell r="N19">
            <v>1.0395639886960101E-2</v>
          </cell>
          <cell r="R19">
            <v>-7.088229807871666E-3</v>
          </cell>
          <cell r="V19">
            <v>2.1839563208735809E-2</v>
          </cell>
          <cell r="Y19">
            <v>-3.5472972972972965E-2</v>
          </cell>
        </row>
        <row r="20">
          <cell r="C20">
            <v>2.237250976164391E-2</v>
          </cell>
          <cell r="F20">
            <v>-1.6586756511597786E-2</v>
          </cell>
          <cell r="J20">
            <v>6.4655172413793103E-3</v>
          </cell>
          <cell r="N20">
            <v>2.5354444789402877E-2</v>
          </cell>
          <cell r="R20">
            <v>5.0618672665916761E-3</v>
          </cell>
          <cell r="V20">
            <v>7.1557155715571558E-2</v>
          </cell>
          <cell r="Y20">
            <v>-2.4068578964721383E-2</v>
          </cell>
        </row>
        <row r="21">
          <cell r="C21">
            <v>1.3055429360719822E-2</v>
          </cell>
          <cell r="F21">
            <v>-4.148552974785745E-2</v>
          </cell>
          <cell r="J21">
            <v>-2.7763226820324779E-2</v>
          </cell>
          <cell r="N21">
            <v>-2.9575696711021889E-2</v>
          </cell>
          <cell r="R21">
            <v>4.5197740112994352E-3</v>
          </cell>
          <cell r="V21">
            <v>-4.224137931034485E-2</v>
          </cell>
          <cell r="Y21">
            <v>-0.13712660028449508</v>
          </cell>
        </row>
        <row r="22">
          <cell r="C22">
            <v>5.8525223625761166E-2</v>
          </cell>
          <cell r="F22">
            <v>-5.8802899228431155E-2</v>
          </cell>
          <cell r="J22">
            <v>-7.2802912116484656E-3</v>
          </cell>
          <cell r="N22">
            <v>1.4583123805692905E-3</v>
          </cell>
          <cell r="R22">
            <v>2.3318558489111581E-2</v>
          </cell>
          <cell r="V22">
            <v>1.8884497145366698E-2</v>
          </cell>
          <cell r="Y22">
            <v>0.1109355246523388</v>
          </cell>
        </row>
        <row r="23">
          <cell r="C23">
            <v>-2.5280765880080294E-2</v>
          </cell>
          <cell r="F23">
            <v>-3.616901408450697E-2</v>
          </cell>
          <cell r="J23">
            <v>-2.9767911200807264E-2</v>
          </cell>
          <cell r="N23">
            <v>3.076923076923031E-3</v>
          </cell>
          <cell r="R23">
            <v>-3.8395085429065081E-3</v>
          </cell>
          <cell r="V23">
            <v>-2.4839400428265601E-2</v>
          </cell>
          <cell r="Y23">
            <v>9.1410831321145261E-2</v>
          </cell>
        </row>
        <row r="24">
          <cell r="C24">
            <v>-2.394299155687209E-2</v>
          </cell>
          <cell r="F24">
            <v>1.2088037404493128E-2</v>
          </cell>
          <cell r="J24">
            <v>4.5615813482007099E-3</v>
          </cell>
          <cell r="N24">
            <v>2.8587734772231973E-2</v>
          </cell>
          <cell r="R24">
            <v>1.718414372192931E-2</v>
          </cell>
          <cell r="V24">
            <v>2.7276726792784908E-2</v>
          </cell>
          <cell r="Y24">
            <v>-0.10414091470951797</v>
          </cell>
        </row>
        <row r="25">
          <cell r="C25">
            <v>4.4748752466054883E-3</v>
          </cell>
          <cell r="F25">
            <v>5.9185892015943847E-2</v>
          </cell>
          <cell r="J25">
            <v>2.540650406504065E-3</v>
          </cell>
          <cell r="N25">
            <v>5.3108949841547397E-2</v>
          </cell>
          <cell r="R25">
            <v>1.1255924170616114E-2</v>
          </cell>
          <cell r="V25">
            <v>5.5246053853296256E-2</v>
          </cell>
          <cell r="Y25">
            <v>-3.0557219892150947E-2</v>
          </cell>
        </row>
        <row r="26">
          <cell r="C26">
            <v>4.7690675248655721E-3</v>
          </cell>
          <cell r="F26">
            <v>-8.8115431214891501E-2</v>
          </cell>
          <cell r="J26">
            <v>3.1987414787624541E-2</v>
          </cell>
          <cell r="N26">
            <v>-9.6856230723444976E-3</v>
          </cell>
          <cell r="R26">
            <v>-7.058823529411765E-3</v>
          </cell>
          <cell r="V26">
            <v>-3.1474820143884863E-2</v>
          </cell>
          <cell r="Y26">
            <v>0.13963810174120869</v>
          </cell>
        </row>
        <row r="27">
          <cell r="C27">
            <v>-7.4096193108429548E-3</v>
          </cell>
          <cell r="F27">
            <v>8.4416305675886379E-3</v>
          </cell>
          <cell r="J27">
            <v>-1.0476689366160294E-3</v>
          </cell>
          <cell r="N27">
            <v>-4.0147501817804188E-2</v>
          </cell>
          <cell r="R27">
            <v>-1.6393442622950821E-2</v>
          </cell>
          <cell r="V27">
            <v>-5.7627118644067922E-2</v>
          </cell>
          <cell r="Y27">
            <v>0.11073189230185811</v>
          </cell>
        </row>
        <row r="28">
          <cell r="C28">
            <v>-2.9269805317370282E-2</v>
          </cell>
          <cell r="F28">
            <v>-8.1524732841246547E-3</v>
          </cell>
          <cell r="J28">
            <v>2.0997375328083989E-3</v>
          </cell>
          <cell r="N28">
            <v>8.8371367676875058E-4</v>
          </cell>
          <cell r="R28">
            <v>-3.2829695952247717E-2</v>
          </cell>
          <cell r="V28">
            <v>2.0319930825767506E-2</v>
          </cell>
          <cell r="Y28">
            <v>-2.6475037821483043E-3</v>
          </cell>
        </row>
        <row r="29">
          <cell r="C29">
            <v>-1.6085285665251236E-3</v>
          </cell>
          <cell r="F29">
            <v>3.7252885384527375E-2</v>
          </cell>
          <cell r="J29">
            <v>1.6542155816435433E-2</v>
          </cell>
          <cell r="N29">
            <v>2.7627189324436791E-3</v>
          </cell>
          <cell r="R29">
            <v>-6.8543905150055574E-3</v>
          </cell>
          <cell r="V29">
            <v>1.0484927916120507E-2</v>
          </cell>
          <cell r="Y29">
            <v>1.4971209213051879E-2</v>
          </cell>
        </row>
        <row r="30">
          <cell r="C30">
            <v>-1.2905883160568551E-2</v>
          </cell>
          <cell r="F30">
            <v>2.2910578609000677E-2</v>
          </cell>
          <cell r="J30">
            <v>8.0688542227003758E-3</v>
          </cell>
          <cell r="N30">
            <v>-1.1032065161356771E-2</v>
          </cell>
          <cell r="R30">
            <v>-4.9769585253456221E-3</v>
          </cell>
          <cell r="V30">
            <v>-5.5303342963268672E-2</v>
          </cell>
          <cell r="Y30">
            <v>-5.7866184448462976E-2</v>
          </cell>
        </row>
        <row r="31">
          <cell r="C31">
            <v>2.4981217556307701E-2</v>
          </cell>
          <cell r="F31">
            <v>7.1652261054741317E-2</v>
          </cell>
          <cell r="J31">
            <v>-1.2745618693574084E-2</v>
          </cell>
          <cell r="N31">
            <v>1.5017529171681256E-2</v>
          </cell>
          <cell r="R31">
            <v>-1.7921795800144823E-2</v>
          </cell>
          <cell r="V31">
            <v>4.1288191577215373E-4</v>
          </cell>
          <cell r="Y31">
            <v>8.8582677165354368E-2</v>
          </cell>
        </row>
        <row r="32">
          <cell r="C32">
            <v>8.2385329918919104E-3</v>
          </cell>
          <cell r="F32">
            <v>-1.7476923076923098E-2</v>
          </cell>
          <cell r="J32">
            <v>-1.824817518248175E-2</v>
          </cell>
          <cell r="N32">
            <v>1.325486453528445E-2</v>
          </cell>
          <cell r="R32">
            <v>1.3392038158136122E-2</v>
          </cell>
          <cell r="V32">
            <v>6.7430586161304429E-2</v>
          </cell>
          <cell r="Y32">
            <v>-4.312034496276017E-3</v>
          </cell>
        </row>
        <row r="33">
          <cell r="C33">
            <v>-2.1133275836964224E-2</v>
          </cell>
          <cell r="F33">
            <v>-2.3320110590215142E-2</v>
          </cell>
          <cell r="J33">
            <v>1.053740779768177E-2</v>
          </cell>
          <cell r="N33">
            <v>-1.4010141669716232E-2</v>
          </cell>
          <cell r="R33">
            <v>-2.7475468331846567E-2</v>
          </cell>
          <cell r="V33">
            <v>8.8222320247020609E-4</v>
          </cell>
          <cell r="Y33">
            <v>-7.9061371841155179E-2</v>
          </cell>
        </row>
        <row r="34">
          <cell r="C34">
            <v>-3.1219085178079567E-3</v>
          </cell>
          <cell r="F34">
            <v>4.4675199227240349E-3</v>
          </cell>
          <cell r="J34">
            <v>-2.0134228187919462E-2</v>
          </cell>
          <cell r="N34">
            <v>-1.376572489173016E-2</v>
          </cell>
          <cell r="R34">
            <v>-2.9605263157894735E-2</v>
          </cell>
          <cell r="V34">
            <v>-4.0220152413209115E-2</v>
          </cell>
          <cell r="Y34">
            <v>7.48932867675592E-2</v>
          </cell>
        </row>
        <row r="35">
          <cell r="C35">
            <v>-2.2740019597444875E-2</v>
          </cell>
          <cell r="F35">
            <v>2.7798461156614482E-2</v>
          </cell>
          <cell r="J35">
            <v>-7.0537428023032631E-2</v>
          </cell>
          <cell r="N35">
            <v>-1.061007957559691E-2</v>
          </cell>
          <cell r="R35">
            <v>-2.8753993610223641E-2</v>
          </cell>
          <cell r="V35">
            <v>-3.0775543701272053E-2</v>
          </cell>
          <cell r="Y35">
            <v>-2.312357846853675E-2</v>
          </cell>
        </row>
        <row r="36">
          <cell r="C36">
            <v>1.0116084773187066E-2</v>
          </cell>
          <cell r="F36">
            <v>4.5543012845465233E-2</v>
          </cell>
          <cell r="J36">
            <v>-1.1385199240986717E-2</v>
          </cell>
          <cell r="N36">
            <v>-1.9854401058900695E-3</v>
          </cell>
          <cell r="R36">
            <v>-9.4936708860759497E-3</v>
          </cell>
          <cell r="V36">
            <v>-1.3360323886639608E-2</v>
          </cell>
          <cell r="Y36">
            <v>-2.7644673792849309E-2</v>
          </cell>
        </row>
        <row r="37">
          <cell r="C37">
            <v>6.862845195342515E-3</v>
          </cell>
          <cell r="F37">
            <v>2.187748607796329E-2</v>
          </cell>
          <cell r="J37">
            <v>-0.12130054189245519</v>
          </cell>
          <cell r="N37">
            <v>2.1427478189888502E-3</v>
          </cell>
          <cell r="R37">
            <v>3.5099448437238842E-3</v>
          </cell>
          <cell r="V37">
            <v>-1.2395041983206807E-2</v>
          </cell>
          <cell r="Y37">
            <v>6.8530917684127585E-2</v>
          </cell>
        </row>
        <row r="38">
          <cell r="C38">
            <v>2.4203503108696452E-2</v>
          </cell>
          <cell r="F38">
            <v>2.1121039805036587E-2</v>
          </cell>
          <cell r="J38">
            <v>7.0026761819803746E-2</v>
          </cell>
          <cell r="N38">
            <v>1.7599418544284012E-2</v>
          </cell>
          <cell r="R38">
            <v>6.9000336587007743E-3</v>
          </cell>
          <cell r="V38">
            <v>8.3152880034647103E-2</v>
          </cell>
          <cell r="Y38">
            <v>-1.6653756777691597E-2</v>
          </cell>
        </row>
        <row r="39">
          <cell r="C39">
            <v>-1.155631653926188E-2</v>
          </cell>
          <cell r="F39">
            <v>4.5583238958097377E-2</v>
          </cell>
          <cell r="J39">
            <v>1.0820559062218215E-2</v>
          </cell>
          <cell r="N39">
            <v>2.6547290614752678E-3</v>
          </cell>
          <cell r="R39">
            <v>-4.6074811366190398E-2</v>
          </cell>
          <cell r="V39">
            <v>1.2275317843051343E-2</v>
          </cell>
          <cell r="Y39">
            <v>-7.7197998570407503E-2</v>
          </cell>
        </row>
        <row r="40">
          <cell r="C40">
            <v>2.3468779968401705E-2</v>
          </cell>
          <cell r="F40">
            <v>2.1399652978600407E-2</v>
          </cell>
          <cell r="J40">
            <v>-0.12088783194609591</v>
          </cell>
          <cell r="N40">
            <v>1.0421551769058412E-3</v>
          </cell>
          <cell r="R40">
            <v>4.1987286717965873E-2</v>
          </cell>
          <cell r="V40">
            <v>2.1495745633676688E-2</v>
          </cell>
          <cell r="Y40">
            <v>2.528398680835469E-2</v>
          </cell>
        </row>
        <row r="41">
          <cell r="C41">
            <v>-1.3892448050725854E-2</v>
          </cell>
          <cell r="F41">
            <v>-3.6500417943716973E-2</v>
          </cell>
          <cell r="J41">
            <v>-1.483795392424834E-2</v>
          </cell>
          <cell r="N41">
            <v>-2.0067401960784405E-2</v>
          </cell>
          <cell r="R41">
            <v>1.9093078758949882E-2</v>
          </cell>
          <cell r="V41">
            <v>-7.2674418604651167E-2</v>
          </cell>
          <cell r="Y41">
            <v>3.6854103343465033E-2</v>
          </cell>
        </row>
        <row r="42">
          <cell r="C42">
            <v>2.5757991653601299E-2</v>
          </cell>
          <cell r="F42">
            <v>2.2944278181559061E-2</v>
          </cell>
          <cell r="J42">
            <v>5.9577989242863054E-2</v>
          </cell>
          <cell r="N42">
            <v>-1.9366017735194957E-3</v>
          </cell>
          <cell r="R42">
            <v>5.7699242697439597E-2</v>
          </cell>
          <cell r="V42">
            <v>-1.0275380189066997E-2</v>
          </cell>
          <cell r="Y42">
            <v>0.16770186335403731</v>
          </cell>
        </row>
        <row r="43">
          <cell r="C43">
            <v>3.8506714739734733E-3</v>
          </cell>
          <cell r="F43">
            <v>-2.1884583217173032E-2</v>
          </cell>
          <cell r="J43">
            <v>-7.7996715927750411E-3</v>
          </cell>
          <cell r="N43">
            <v>5.0194632247490033E-3</v>
          </cell>
          <cell r="R43">
            <v>2.5138632162661736E-2</v>
          </cell>
          <cell r="V43">
            <v>2.9187817258883152E-2</v>
          </cell>
          <cell r="Y43">
            <v>3.7753222836095696E-2</v>
          </cell>
        </row>
        <row r="44">
          <cell r="C44">
            <v>1.8290551546207914E-2</v>
          </cell>
          <cell r="F44">
            <v>-1.2797578092748133E-2</v>
          </cell>
          <cell r="J44">
            <v>8.2781456953642391E-3</v>
          </cell>
          <cell r="N44">
            <v>4.2693277094800587E-3</v>
          </cell>
          <cell r="R44">
            <v>1.1404000747803327E-2</v>
          </cell>
          <cell r="V44">
            <v>1.7211703958692003E-2</v>
          </cell>
          <cell r="Y44">
            <v>-4.1265474552956887E-3</v>
          </cell>
        </row>
        <row r="45">
          <cell r="C45">
            <v>3.2132786893067848E-3</v>
          </cell>
          <cell r="F45">
            <v>1.5653389238294964E-2</v>
          </cell>
          <cell r="J45">
            <v>8.9269612263300269E-2</v>
          </cell>
          <cell r="N45">
            <v>-1.7486228331733026E-2</v>
          </cell>
          <cell r="R45">
            <v>2.2948938611589215E-2</v>
          </cell>
          <cell r="V45">
            <v>-2.8428093645485084E-2</v>
          </cell>
          <cell r="Y45">
            <v>-0.15628626692456477</v>
          </cell>
        </row>
        <row r="46">
          <cell r="C46">
            <v>1.646427809353835E-2</v>
          </cell>
          <cell r="F46">
            <v>2.1559109080525281E-2</v>
          </cell>
          <cell r="J46">
            <v>-0.12435846821950257</v>
          </cell>
          <cell r="N46">
            <v>-1.7771159096549988E-2</v>
          </cell>
          <cell r="R46">
            <v>-8.9024390243902435E-2</v>
          </cell>
          <cell r="V46">
            <v>-2.9178824510211229E-3</v>
          </cell>
          <cell r="Y46">
            <v>0.14077669902912618</v>
          </cell>
        </row>
        <row r="47">
          <cell r="C47">
            <v>-2.9422786340284248E-3</v>
          </cell>
          <cell r="F47">
            <v>-1.8222596019063599E-2</v>
          </cell>
          <cell r="J47">
            <v>-3.0616150019135095E-2</v>
          </cell>
          <cell r="N47">
            <v>-1.4374938039060626E-3</v>
          </cell>
          <cell r="R47">
            <v>-2.3144996596324029E-2</v>
          </cell>
          <cell r="V47">
            <v>-6.7987567987567998E-2</v>
          </cell>
          <cell r="Y47">
            <v>6.0364997660271411E-2</v>
          </cell>
        </row>
        <row r="48">
          <cell r="C48">
            <v>-7.9698187783607474E-3</v>
          </cell>
          <cell r="F48">
            <v>-7.0851784318833003E-2</v>
          </cell>
          <cell r="J48">
            <v>2.7122641509433963E-2</v>
          </cell>
          <cell r="N48">
            <v>1.3717903622933613E-2</v>
          </cell>
          <cell r="R48">
            <v>1.7136922277998963E-2</v>
          </cell>
          <cell r="V48">
            <v>2.9599999999999939E-2</v>
          </cell>
          <cell r="Y48">
            <v>-0.11327800829875523</v>
          </cell>
        </row>
        <row r="49">
          <cell r="C49">
            <v>8.6996071145171959E-3</v>
          </cell>
          <cell r="F49">
            <v>-1.3997688455117547E-2</v>
          </cell>
          <cell r="J49">
            <v>-4.1085563513004145E-2</v>
          </cell>
          <cell r="N49">
            <v>5.3548875978782062E-3</v>
          </cell>
          <cell r="R49">
            <v>-2.6457701381867205E-2</v>
          </cell>
          <cell r="V49">
            <v>-1.9960079840319646E-3</v>
          </cell>
          <cell r="Y49">
            <v>7.9265562024182737E-2</v>
          </cell>
        </row>
        <row r="50">
          <cell r="C50">
            <v>-9.95736700147884E-4</v>
          </cell>
          <cell r="F50">
            <v>-5.6349975763451181E-2</v>
          </cell>
          <cell r="J50">
            <v>-4.5028142589118199E-3</v>
          </cell>
          <cell r="N50">
            <v>-1.1337528718409772E-2</v>
          </cell>
          <cell r="R50">
            <v>-1.1329556814395202E-2</v>
          </cell>
          <cell r="V50">
            <v>-1.4555468135326552E-2</v>
          </cell>
          <cell r="Y50">
            <v>5.6291390728476928E-2</v>
          </cell>
        </row>
        <row r="51">
          <cell r="C51">
            <v>7.9463681053928824E-3</v>
          </cell>
          <cell r="F51">
            <v>2.2552664188351834E-2</v>
          </cell>
          <cell r="J51">
            <v>3.5353535353535352E-2</v>
          </cell>
          <cell r="N51">
            <v>-4.8213131865401087E-3</v>
          </cell>
          <cell r="R51">
            <v>5.360134003350084E-3</v>
          </cell>
          <cell r="V51">
            <v>1.5987210231814635E-2</v>
          </cell>
          <cell r="Y51">
            <v>5.1218299353555319E-2</v>
          </cell>
        </row>
        <row r="52">
          <cell r="C52">
            <v>-1.0439708856231249E-3</v>
          </cell>
          <cell r="F52">
            <v>6.6472842606052615E-2</v>
          </cell>
          <cell r="J52">
            <v>-2.5738077214231644E-2</v>
          </cell>
          <cell r="N52">
            <v>2.178770949720675E-2</v>
          </cell>
          <cell r="R52">
            <v>-8.635004981733644E-3</v>
          </cell>
          <cell r="V52">
            <v>3.9036544850498393E-2</v>
          </cell>
          <cell r="Y52">
            <v>-9.2509025270758147E-2</v>
          </cell>
        </row>
        <row r="53">
          <cell r="C53">
            <v>3.4832623602678581E-2</v>
          </cell>
          <cell r="F53">
            <v>9.2549812301472661E-2</v>
          </cell>
          <cell r="J53">
            <v>2.7216174183514776E-2</v>
          </cell>
          <cell r="N53">
            <v>-6.6091519095907922E-3</v>
          </cell>
          <cell r="R53">
            <v>5.4087169613162962E-2</v>
          </cell>
          <cell r="V53">
            <v>3.5698924731182725E-2</v>
          </cell>
          <cell r="Y53">
            <v>0</v>
          </cell>
        </row>
        <row r="54">
          <cell r="C54">
            <v>1.3876690224273845E-2</v>
          </cell>
          <cell r="F54">
            <v>3.7758465687743638E-2</v>
          </cell>
          <cell r="J54">
            <v>1.3795821836815136E-2</v>
          </cell>
          <cell r="N54">
            <v>6.2442887602802083E-3</v>
          </cell>
          <cell r="R54">
            <v>-3.2678631899762951E-2</v>
          </cell>
          <cell r="V54">
            <v>4.0268456375838861E-2</v>
          </cell>
          <cell r="Y54">
            <v>-5.2181351582549135E-2</v>
          </cell>
        </row>
        <row r="55">
          <cell r="C55">
            <v>1.4255785829153204E-2</v>
          </cell>
          <cell r="F55">
            <v>-0.12962962962962976</v>
          </cell>
          <cell r="J55">
            <v>1.6019223067681217E-2</v>
          </cell>
          <cell r="N55">
            <v>5.7894736842105242E-2</v>
          </cell>
          <cell r="R55">
            <v>-2.4124256444150696E-2</v>
          </cell>
          <cell r="V55">
            <v>9.6663395485770492E-2</v>
          </cell>
          <cell r="Y55">
            <v>-3.7860082304526782E-2</v>
          </cell>
        </row>
        <row r="56">
          <cell r="C56">
            <v>-4.5493420076922253E-2</v>
          </cell>
          <cell r="F56">
            <v>-3.7650602409638551E-2</v>
          </cell>
          <cell r="J56">
            <v>-3.254552499031383E-2</v>
          </cell>
          <cell r="N56">
            <v>7.7393516263462433E-3</v>
          </cell>
          <cell r="R56">
            <v>-1.1434171839268212E-2</v>
          </cell>
          <cell r="V56">
            <v>-3.3665244191560022E-2</v>
          </cell>
          <cell r="Y56">
            <v>-0.19242273180458616</v>
          </cell>
        </row>
        <row r="57">
          <cell r="C57">
            <v>1.9042629293407599E-2</v>
          </cell>
          <cell r="F57">
            <v>4.4025157232704587E-2</v>
          </cell>
          <cell r="J57">
            <v>-7.3076923076923076E-3</v>
          </cell>
          <cell r="N57">
            <v>2.1505970809376433E-2</v>
          </cell>
          <cell r="R57">
            <v>9.8103335513407457E-4</v>
          </cell>
          <cell r="V57">
            <v>1.345506967803946E-2</v>
          </cell>
          <cell r="Y57">
            <v>0.2276621787025703</v>
          </cell>
        </row>
        <row r="58">
          <cell r="C58">
            <v>-2.6733903885425469E-2</v>
          </cell>
          <cell r="F58">
            <v>-2.6198585276408478E-4</v>
          </cell>
          <cell r="J58">
            <v>-4.0944300995942456E-2</v>
          </cell>
          <cell r="N58">
            <v>-1.7170180395566254E-2</v>
          </cell>
          <cell r="R58">
            <v>1.1458503846783433E-3</v>
          </cell>
          <cell r="V58">
            <v>-4.0571692023974294E-2</v>
          </cell>
          <cell r="Y58">
            <v>7.7362637362637432E-2</v>
          </cell>
        </row>
        <row r="59">
          <cell r="C59">
            <v>-2.779638475868213E-3</v>
          </cell>
          <cell r="F59">
            <v>-4.2398394380331106E-2</v>
          </cell>
          <cell r="J59">
            <v>-4.0411462160176341E-3</v>
          </cell>
          <cell r="N59">
            <v>-1.2024908739531815E-2</v>
          </cell>
          <cell r="R59">
            <v>-9.8865478119935166E-3</v>
          </cell>
          <cell r="V59">
            <v>-1.5433499773036761E-2</v>
          </cell>
          <cell r="Y59">
            <v>-9.5067621320604576E-2</v>
          </cell>
        </row>
        <row r="60">
          <cell r="C60">
            <v>-1.1125401307391678E-2</v>
          </cell>
          <cell r="F60">
            <v>8.6251532906390496E-2</v>
          </cell>
          <cell r="J60">
            <v>4.4280442804428043E-3</v>
          </cell>
          <cell r="N60">
            <v>-5.3679746631669128E-5</v>
          </cell>
          <cell r="R60">
            <v>6.8537859007832902E-3</v>
          </cell>
          <cell r="V60">
            <v>-1.3434841021047791E-2</v>
          </cell>
          <cell r="Y60">
            <v>4.315352697095421E-2</v>
          </cell>
        </row>
        <row r="61">
          <cell r="C61">
            <v>1.6194331983805575E-2</v>
          </cell>
          <cell r="F61">
            <v>-7.8940763052208901E-2</v>
          </cell>
          <cell r="J61">
            <v>-8.0527086383601759E-3</v>
          </cell>
          <cell r="N61">
            <v>-3.4066161982785351E-2</v>
          </cell>
          <cell r="R61">
            <v>1.4905597880092747E-2</v>
          </cell>
          <cell r="V61">
            <v>-5.0998725031874324E-2</v>
          </cell>
          <cell r="Y61">
            <v>-0.22483113541331612</v>
          </cell>
        </row>
        <row r="62">
          <cell r="C62">
            <v>2.4656334248768397E-2</v>
          </cell>
          <cell r="F62">
            <v>-2.0046734718976698E-2</v>
          </cell>
          <cell r="J62">
            <v>9.9815157116451021E-3</v>
          </cell>
          <cell r="N62">
            <v>1.1420265780729953E-3</v>
          </cell>
          <cell r="R62">
            <v>1.9913707268503153E-3</v>
          </cell>
          <cell r="V62">
            <v>-1.2589173310952462E-2</v>
          </cell>
          <cell r="Y62">
            <v>-2.047889098928795E-2</v>
          </cell>
        </row>
        <row r="63">
          <cell r="C63">
            <v>-6.6215063927043448E-3</v>
          </cell>
          <cell r="F63">
            <v>1.8156774355121499E-2</v>
          </cell>
          <cell r="J63">
            <v>1.8518518518518519E-3</v>
          </cell>
          <cell r="N63">
            <v>4.1701417848206837E-3</v>
          </cell>
          <cell r="R63">
            <v>-2.0640338046481393E-2</v>
          </cell>
          <cell r="V63">
            <v>-1.650846058605044E-2</v>
          </cell>
          <cell r="Y63">
            <v>-7.1658379643170553E-2</v>
          </cell>
        </row>
        <row r="64">
          <cell r="C64">
            <v>2.6702917526726079E-2</v>
          </cell>
          <cell r="F64">
            <v>8.2553883692558006E-2</v>
          </cell>
          <cell r="J64">
            <v>3.2110091743119268E-2</v>
          </cell>
          <cell r="N64">
            <v>2.9074133676644159E-2</v>
          </cell>
          <cell r="R64">
            <v>2.4475524475524476E-2</v>
          </cell>
          <cell r="V64">
            <v>1.7212426532325784E-2</v>
          </cell>
          <cell r="Y64">
            <v>-7.8436657681940677E-2</v>
          </cell>
        </row>
        <row r="65">
          <cell r="C65">
            <v>1.4475843208751121E-2</v>
          </cell>
          <cell r="F65">
            <v>-8.0862197856964968E-2</v>
          </cell>
          <cell r="J65">
            <v>-3.6109064112011792E-2</v>
          </cell>
          <cell r="N65">
            <v>2.4454580425344836E-2</v>
          </cell>
          <cell r="R65">
            <v>-1.1683396412703637E-2</v>
          </cell>
          <cell r="V65">
            <v>-1.6764459346185728E-3</v>
          </cell>
          <cell r="Y65">
            <v>-0.17094972067039099</v>
          </cell>
        </row>
        <row r="66">
          <cell r="C66">
            <v>-1.3836798601755513E-3</v>
          </cell>
          <cell r="F66">
            <v>8.7983911513323625E-3</v>
          </cell>
          <cell r="J66">
            <v>1.8386491557223265E-2</v>
          </cell>
          <cell r="N66">
            <v>1.3252408263266303E-2</v>
          </cell>
          <cell r="R66">
            <v>2.7214334009465855E-2</v>
          </cell>
          <cell r="V66">
            <v>4.2087542087541185E-3</v>
          </cell>
          <cell r="Y66">
            <v>-0.11892104745028552</v>
          </cell>
        </row>
        <row r="67">
          <cell r="C67">
            <v>-1.957241794640159E-3</v>
          </cell>
          <cell r="F67">
            <v>7.0938215102974767E-2</v>
          </cell>
          <cell r="J67">
            <v>2.0290964777947933E-2</v>
          </cell>
          <cell r="N67">
            <v>3.296089385474911E-3</v>
          </cell>
          <cell r="R67">
            <v>-6.7567567567567571E-4</v>
          </cell>
          <cell r="V67">
            <v>2.634989200863944E-2</v>
          </cell>
          <cell r="Y67">
            <v>-0.23045454545454544</v>
          </cell>
        </row>
        <row r="68">
          <cell r="C68">
            <v>-2.0846994952190685E-2</v>
          </cell>
          <cell r="F68">
            <v>4.6043368065333858E-2</v>
          </cell>
          <cell r="J68">
            <v>2.8751476959432847E-2</v>
          </cell>
          <cell r="N68">
            <v>-4.5047550191868692E-3</v>
          </cell>
          <cell r="R68">
            <v>-2.527379949452401E-3</v>
          </cell>
          <cell r="V68">
            <v>-1.6149596260093605E-2</v>
          </cell>
          <cell r="Y68">
            <v>5.6845476381104806E-2</v>
          </cell>
        </row>
        <row r="69">
          <cell r="C69">
            <v>-3.3725470933516646E-2</v>
          </cell>
          <cell r="F69">
            <v>-0.11202800700175053</v>
          </cell>
          <cell r="J69">
            <v>-3.937007874015748E-4</v>
          </cell>
          <cell r="N69">
            <v>1.2250125285371224E-3</v>
          </cell>
          <cell r="R69">
            <v>3.1456378171706642E-2</v>
          </cell>
          <cell r="V69">
            <v>2.1267361111111199E-2</v>
          </cell>
          <cell r="Y69">
            <v>-5.7315714058270321E-3</v>
          </cell>
        </row>
        <row r="70">
          <cell r="C70">
            <v>1.1321073390758329E-2</v>
          </cell>
          <cell r="F70">
            <v>4.85055060304143E-2</v>
          </cell>
          <cell r="J70">
            <v>-4.940119760479042E-2</v>
          </cell>
          <cell r="N70">
            <v>2.4297039867678172E-2</v>
          </cell>
          <cell r="R70">
            <v>1.566579634464752E-3</v>
          </cell>
          <cell r="V70">
            <v>7.5630252100840206E-2</v>
          </cell>
          <cell r="Y70">
            <v>-0.10578018223234628</v>
          </cell>
        </row>
        <row r="71">
          <cell r="C71">
            <v>1.5327815521493678E-2</v>
          </cell>
          <cell r="F71">
            <v>-4.7452547452547421E-2</v>
          </cell>
          <cell r="J71">
            <v>3.7439161362785476E-4</v>
          </cell>
          <cell r="N71">
            <v>7.9913237056901854E-4</v>
          </cell>
          <cell r="R71">
            <v>5.601260283563802E-3</v>
          </cell>
          <cell r="V71">
            <v>2.0972354623450967E-2</v>
          </cell>
          <cell r="Y71">
            <v>0.11438997302871649</v>
          </cell>
        </row>
        <row r="72">
          <cell r="C72">
            <v>-6.9097129175817486E-3</v>
          </cell>
          <cell r="F72">
            <v>-9.9820143884892049E-2</v>
          </cell>
          <cell r="J72">
            <v>1.4817629179331307E-2</v>
          </cell>
          <cell r="N72">
            <v>-7.984144960362349E-3</v>
          </cell>
          <cell r="R72">
            <v>-1.8722088629336997E-2</v>
          </cell>
          <cell r="V72">
            <v>-3.0946882217089987E-2</v>
          </cell>
          <cell r="Y72">
            <v>7.2121109032148398E-2</v>
          </cell>
        </row>
        <row r="73">
          <cell r="C73">
            <v>5.8978133163596728E-2</v>
          </cell>
          <cell r="F73">
            <v>-3.9412590432998655E-2</v>
          </cell>
          <cell r="J73">
            <v>-3.3773861967694566E-2</v>
          </cell>
          <cell r="N73">
            <v>5.5904334828101643E-2</v>
          </cell>
          <cell r="R73">
            <v>2.7557698932139168E-3</v>
          </cell>
          <cell r="V73">
            <v>4.1366041366041342E-2</v>
          </cell>
          <cell r="Y73">
            <v>-8.1406250000000124E-2</v>
          </cell>
        </row>
        <row r="74">
          <cell r="C74">
            <v>-3.345500966403997E-2</v>
          </cell>
          <cell r="F74">
            <v>5.35836177474402E-2</v>
          </cell>
          <cell r="J74">
            <v>3.6724201248622841E-4</v>
          </cell>
          <cell r="N74">
            <v>2.0065869724323063E-2</v>
          </cell>
          <cell r="R74">
            <v>4.5937668888488561E-2</v>
          </cell>
          <cell r="V74">
            <v>8.5639686684073138E-2</v>
          </cell>
          <cell r="Y74">
            <v>0.12596762843068265</v>
          </cell>
        </row>
        <row r="75">
          <cell r="C75">
            <v>3.9520351742055808E-2</v>
          </cell>
          <cell r="F75">
            <v>3.3509700176366945E-2</v>
          </cell>
          <cell r="J75">
            <v>-5.1150895140664966E-3</v>
          </cell>
          <cell r="N75">
            <v>-6.9049061175045978E-3</v>
          </cell>
          <cell r="R75">
            <v>-5.5535650304550342E-3</v>
          </cell>
          <cell r="V75">
            <v>5.7773109243697187E-3</v>
          </cell>
          <cell r="Y75">
            <v>0.14619883040935686</v>
          </cell>
        </row>
        <row r="76">
          <cell r="C76">
            <v>4.7356038257695167E-2</v>
          </cell>
          <cell r="F76">
            <v>-6.5412919051512936E-3</v>
          </cell>
          <cell r="J76">
            <v>-7.9739035882566145E-3</v>
          </cell>
          <cell r="N76">
            <v>5.6648595967594287E-3</v>
          </cell>
          <cell r="R76">
            <v>8.4914182475158088E-3</v>
          </cell>
          <cell r="V76">
            <v>5.7190449750138671E-2</v>
          </cell>
          <cell r="Y76">
            <v>-0.23152022315202242</v>
          </cell>
        </row>
        <row r="77">
          <cell r="C77">
            <v>-1.5548155596951279E-2</v>
          </cell>
          <cell r="F77">
            <v>-7.5885146804835935E-2</v>
          </cell>
          <cell r="J77">
            <v>9.5133552872301505E-3</v>
          </cell>
          <cell r="N77">
            <v>-3.4578065274919113E-2</v>
          </cell>
          <cell r="R77">
            <v>1.2253108997805413E-2</v>
          </cell>
          <cell r="V77">
            <v>-0.10797424467558195</v>
          </cell>
          <cell r="Y77">
            <v>-4.3716656787196197E-2</v>
          </cell>
        </row>
        <row r="78">
          <cell r="C78">
            <v>1.5071312632124979E-2</v>
          </cell>
          <cell r="F78">
            <v>0.16542961378789794</v>
          </cell>
          <cell r="J78">
            <v>8.487084870848708E-3</v>
          </cell>
          <cell r="N78">
            <v>2.2918671799807451E-2</v>
          </cell>
          <cell r="R78">
            <v>1.648653599560359E-3</v>
          </cell>
          <cell r="V78">
            <v>6.4873417721519E-2</v>
          </cell>
          <cell r="Y78">
            <v>-2.6603606266626949E-3</v>
          </cell>
        </row>
        <row r="79">
          <cell r="C79">
            <v>-2.9137096796029525E-2</v>
          </cell>
          <cell r="F79">
            <v>9.5250190500381013E-3</v>
          </cell>
          <cell r="J79">
            <v>1.1082379017362395E-3</v>
          </cell>
          <cell r="N79">
            <v>1.0393241354160419E-2</v>
          </cell>
          <cell r="R79">
            <v>-4.2784499386287922E-2</v>
          </cell>
          <cell r="V79">
            <v>6.3694267515924099E-3</v>
          </cell>
          <cell r="Y79">
            <v>-9.0802577621558692E-3</v>
          </cell>
        </row>
        <row r="80">
          <cell r="C80">
            <v>-4.6497458259430496E-2</v>
          </cell>
          <cell r="F80">
            <v>-7.4844319116437602E-2</v>
          </cell>
          <cell r="J80">
            <v>-7.3827980804724988E-4</v>
          </cell>
          <cell r="N80">
            <v>-1.5792307232158933E-2</v>
          </cell>
          <cell r="R80">
            <v>-1.5705902657921988E-2</v>
          </cell>
          <cell r="V80">
            <v>-2.3834196891191754E-2</v>
          </cell>
          <cell r="Y80">
            <v>-0.12055641421947448</v>
          </cell>
        </row>
        <row r="81">
          <cell r="C81">
            <v>-4.770416191337875E-2</v>
          </cell>
          <cell r="F81">
            <v>-1.9357068786726658E-2</v>
          </cell>
          <cell r="J81">
            <v>-3.042233357193987E-2</v>
          </cell>
          <cell r="N81">
            <v>-2.5929378860272696E-2</v>
          </cell>
          <cell r="R81">
            <v>-2.7362766493201275E-2</v>
          </cell>
          <cell r="V81">
            <v>3.4297963558413747E-2</v>
          </cell>
          <cell r="Y81">
            <v>-2.9014507253626837E-2</v>
          </cell>
        </row>
        <row r="82">
          <cell r="C82">
            <v>3.6465473745368529E-2</v>
          </cell>
          <cell r="F82">
            <v>-9.2091631173015181E-4</v>
          </cell>
          <cell r="J82">
            <v>4.4095665171898356E-2</v>
          </cell>
          <cell r="N82">
            <v>3.743127851210721E-3</v>
          </cell>
          <cell r="R82">
            <v>-1.4068189341277723E-2</v>
          </cell>
          <cell r="V82">
            <v>4.9493813273340771E-2</v>
          </cell>
          <cell r="Y82">
            <v>-8.9915775096744727E-2</v>
          </cell>
        </row>
        <row r="83">
          <cell r="C83">
            <v>-3.2876091146128467E-2</v>
          </cell>
          <cell r="F83">
            <v>-6.6516226090694144E-2</v>
          </cell>
          <cell r="J83">
            <v>3.7383177570093456E-4</v>
          </cell>
          <cell r="N83">
            <v>-1.5148896952940473E-2</v>
          </cell>
          <cell r="R83">
            <v>-5.9025073976016196E-2</v>
          </cell>
          <cell r="V83">
            <v>-5.1227321237993458E-2</v>
          </cell>
          <cell r="Y83">
            <v>-5.4862306368330442E-2</v>
          </cell>
        </row>
        <row r="84">
          <cell r="C84">
            <v>-4.0397495080974656E-2</v>
          </cell>
          <cell r="F84">
            <v>2.5228599757629241E-2</v>
          </cell>
          <cell r="J84">
            <v>6.8290734824281149E-2</v>
          </cell>
          <cell r="N84">
            <v>-6.5804531929503319E-3</v>
          </cell>
          <cell r="R84">
            <v>7.8253568429890855E-2</v>
          </cell>
          <cell r="V84">
            <v>-1.6789087093389311E-2</v>
          </cell>
          <cell r="Y84">
            <v>-4.284490145672764E-3</v>
          </cell>
        </row>
        <row r="85">
          <cell r="C85">
            <v>-1.2072006822190829E-2</v>
          </cell>
          <cell r="F85">
            <v>-1.4333803887501438E-2</v>
          </cell>
          <cell r="J85">
            <v>-2.1492770613520906E-2</v>
          </cell>
          <cell r="N85">
            <v>-2.835538752362949E-2</v>
          </cell>
          <cell r="R85">
            <v>-0.10813239478807848</v>
          </cell>
          <cell r="V85">
            <v>-7.833655705996137E-2</v>
          </cell>
          <cell r="Y85">
            <v>6.4781021897810168E-2</v>
          </cell>
        </row>
        <row r="86">
          <cell r="C86">
            <v>3.2558218079267787E-2</v>
          </cell>
          <cell r="F86">
            <v>3.4602853611953692E-2</v>
          </cell>
          <cell r="J86">
            <v>4.8340843916427692E-2</v>
          </cell>
          <cell r="N86">
            <v>1.449602346438029E-2</v>
          </cell>
          <cell r="R86">
            <v>3.3751354698869793E-2</v>
          </cell>
          <cell r="V86">
            <v>4.339051463168514E-2</v>
          </cell>
          <cell r="Y86">
            <v>8.730158730158738E-2</v>
          </cell>
        </row>
        <row r="87">
          <cell r="C87">
            <v>3.6074948732412581E-3</v>
          </cell>
          <cell r="F87">
            <v>-9.7444737375785836E-2</v>
          </cell>
          <cell r="J87">
            <v>-9.7363083164300201E-3</v>
          </cell>
          <cell r="N87">
            <v>5.6724714958307334E-3</v>
          </cell>
          <cell r="R87">
            <v>-1.3591936469150885E-2</v>
          </cell>
          <cell r="V87">
            <v>-1.6865079365079357E-2</v>
          </cell>
          <cell r="Y87">
            <v>-2.0051039008384879E-2</v>
          </cell>
        </row>
        <row r="88">
          <cell r="C88">
            <v>4.2573385197507051E-2</v>
          </cell>
          <cell r="F88">
            <v>4.1393875395987344E-2</v>
          </cell>
          <cell r="J88">
            <v>9.21577315019938E-2</v>
          </cell>
          <cell r="N88">
            <v>2.0728388628336623E-2</v>
          </cell>
          <cell r="R88">
            <v>0.14116416869989543</v>
          </cell>
          <cell r="V88">
            <v>8.5037674919268141E-2</v>
          </cell>
          <cell r="Y88">
            <v>-8.4347511748403773E-3</v>
          </cell>
        </row>
        <row r="89">
          <cell r="C89">
            <v>2.5489495646051488E-2</v>
          </cell>
          <cell r="F89">
            <v>-2.961368992724665E-2</v>
          </cell>
          <cell r="J89">
            <v>-6.619776582540339E-2</v>
          </cell>
          <cell r="N89">
            <v>1.4508928571428464E-2</v>
          </cell>
          <cell r="R89">
            <v>-2.1487039563437928E-2</v>
          </cell>
          <cell r="V89">
            <v>1.6172506738543172E-3</v>
          </cell>
          <cell r="Y89">
            <v>0.18286773090079811</v>
          </cell>
        </row>
        <row r="90">
          <cell r="C90">
            <v>-9.2886561453359908E-3</v>
          </cell>
          <cell r="F90">
            <v>-6.8708846263956513E-2</v>
          </cell>
          <cell r="J90">
            <v>-0.22357854159974302</v>
          </cell>
          <cell r="N90">
            <v>-2.1946455245317603E-2</v>
          </cell>
          <cell r="R90">
            <v>-0.100751418494096</v>
          </cell>
          <cell r="V90">
            <v>-3.2342201356285911E-2</v>
          </cell>
          <cell r="Y90">
            <v>0.16274444812727878</v>
          </cell>
        </row>
        <row r="91">
          <cell r="C91">
            <v>1.9357807038869898E-2</v>
          </cell>
          <cell r="F91">
            <v>-3.3570045190445451E-2</v>
          </cell>
          <cell r="J91">
            <v>3.1477799867461895E-2</v>
          </cell>
          <cell r="N91">
            <v>-3.2408694202012443E-2</v>
          </cell>
          <cell r="R91">
            <v>2.6137761377613778E-3</v>
          </cell>
          <cell r="V91">
            <v>-2.1938775510204067E-2</v>
          </cell>
          <cell r="Y91">
            <v>5.3054101221640379E-2</v>
          </cell>
        </row>
        <row r="92">
          <cell r="C92">
            <v>-2.2089913951336197E-2</v>
          </cell>
          <cell r="F92">
            <v>7.5264820665304055E-3</v>
          </cell>
          <cell r="J92">
            <v>5.6647784071976008E-3</v>
          </cell>
          <cell r="N92">
            <v>-1.5110867779906875E-2</v>
          </cell>
          <cell r="R92">
            <v>9.4676392984634483E-3</v>
          </cell>
          <cell r="V92">
            <v>-7.1969696969696947E-2</v>
          </cell>
          <cell r="Y92">
            <v>-7.8778135048231404E-2</v>
          </cell>
        </row>
        <row r="93">
          <cell r="C93">
            <v>6.4465391690522483E-2</v>
          </cell>
          <cell r="F93">
            <v>-1.7707192405987567E-2</v>
          </cell>
          <cell r="J93">
            <v>-4.3658381134480562E-2</v>
          </cell>
          <cell r="N93">
            <v>-4.957507082152925E-3</v>
          </cell>
          <cell r="R93">
            <v>-5.3613396004700352E-2</v>
          </cell>
          <cell r="V93">
            <v>-2.0862308762169646E-2</v>
          </cell>
          <cell r="Y93">
            <v>-0.10426267281105994</v>
          </cell>
        </row>
        <row r="94">
          <cell r="C94">
            <v>-5.7941069405208073E-2</v>
          </cell>
          <cell r="F94">
            <v>-9.2069279854147673E-2</v>
          </cell>
          <cell r="J94">
            <v>1.4548981571290009E-2</v>
          </cell>
          <cell r="N94">
            <v>-1.9182473951375949E-2</v>
          </cell>
          <cell r="R94">
            <v>-2.4921226009739329E-2</v>
          </cell>
          <cell r="V94">
            <v>-1.5518028297581006E-2</v>
          </cell>
          <cell r="Y94">
            <v>-0.21536723163841806</v>
          </cell>
        </row>
        <row r="95">
          <cell r="C95">
            <v>-5.0548369980577004E-2</v>
          </cell>
          <cell r="F95">
            <v>1.5142592748380559E-2</v>
          </cell>
          <cell r="J95">
            <v>6.3617606602475923E-2</v>
          </cell>
          <cell r="N95">
            <v>1.414327517069465E-2</v>
          </cell>
          <cell r="R95">
            <v>2.8125460167869237E-2</v>
          </cell>
          <cell r="V95">
            <v>9.1365920511647203E-4</v>
          </cell>
          <cell r="Y95">
            <v>3.8366772263287573E-2</v>
          </cell>
        </row>
        <row r="96">
          <cell r="C96">
            <v>-1.1952172072799987E-2</v>
          </cell>
          <cell r="F96">
            <v>3.3023377074824119E-2</v>
          </cell>
          <cell r="J96">
            <v>-6.4651013187520104E-2</v>
          </cell>
          <cell r="N96">
            <v>-3.1869497110138087E-3</v>
          </cell>
          <cell r="R96">
            <v>-1.9916293837494589E-2</v>
          </cell>
          <cell r="V96">
            <v>-7.7062556663643773E-3</v>
          </cell>
          <cell r="Y96">
            <v>-2.3375730491577932E-2</v>
          </cell>
        </row>
        <row r="97">
          <cell r="C97">
            <v>6.5843705784649362E-2</v>
          </cell>
          <cell r="F97">
            <v>1.6250110394771606E-2</v>
          </cell>
          <cell r="J97">
            <v>-1.9261637239165329E-3</v>
          </cell>
          <cell r="N97">
            <v>5.1579976110326855E-3</v>
          </cell>
          <cell r="R97">
            <v>1.5833455505057908E-2</v>
          </cell>
          <cell r="V97">
            <v>1.7997231195200598E-2</v>
          </cell>
          <cell r="Y97">
            <v>7.9673388593344066E-2</v>
          </cell>
        </row>
        <row r="98">
          <cell r="C98">
            <v>-3.0450633590878417E-2</v>
          </cell>
          <cell r="F98">
            <v>2.4798624309892381E-2</v>
          </cell>
          <cell r="J98">
            <v>-1.9823788546255508E-2</v>
          </cell>
          <cell r="N98">
            <v>1.9032864888790451E-2</v>
          </cell>
          <cell r="R98">
            <v>-1.0445379370375743E-2</v>
          </cell>
          <cell r="V98">
            <v>3.2888465204957161E-2</v>
          </cell>
          <cell r="Y98">
            <v>5.4808821610335366E-2</v>
          </cell>
        </row>
        <row r="99">
          <cell r="C99">
            <v>-2.4118796897660701E-2</v>
          </cell>
          <cell r="F99">
            <v>6.5591691719048819E-3</v>
          </cell>
          <cell r="J99">
            <v>2.8400126222783212E-3</v>
          </cell>
          <cell r="N99">
            <v>-3.9230278545609162E-2</v>
          </cell>
          <cell r="R99">
            <v>4.0924192086982787E-2</v>
          </cell>
          <cell r="V99">
            <v>-6.045678459471554E-2</v>
          </cell>
          <cell r="Y99">
            <v>-4.724605246798446E-2</v>
          </cell>
        </row>
        <row r="100">
          <cell r="C100">
            <v>-2.0789316372736579E-3</v>
          </cell>
          <cell r="F100">
            <v>4.8524214347120051E-2</v>
          </cell>
          <cell r="J100">
            <v>-3.1775129850290254E-2</v>
          </cell>
          <cell r="N100">
            <v>-1.4717435709422255E-2</v>
          </cell>
          <cell r="R100">
            <v>-3.0879555100248791E-2</v>
          </cell>
          <cell r="V100">
            <v>-3.0815972222222262E-2</v>
          </cell>
          <cell r="Y100">
            <v>0.1102981778023191</v>
          </cell>
        </row>
        <row r="101">
          <cell r="C101">
            <v>-3.2738109172288712E-2</v>
          </cell>
          <cell r="F101">
            <v>2.5668658763593658E-2</v>
          </cell>
          <cell r="J101">
            <v>3.1841109709962172E-2</v>
          </cell>
          <cell r="N101">
            <v>-1.123770067322633E-2</v>
          </cell>
          <cell r="R101">
            <v>-4.516317016317016E-3</v>
          </cell>
          <cell r="V101">
            <v>-5.028854080791436E-2</v>
          </cell>
          <cell r="Y101">
            <v>0.10866238138965412</v>
          </cell>
        </row>
        <row r="102">
          <cell r="C102">
            <v>-2.750313596306516E-2</v>
          </cell>
          <cell r="F102">
            <v>-4.5628798503973909E-2</v>
          </cell>
          <cell r="J102">
            <v>3.4799114204365706E-3</v>
          </cell>
          <cell r="N102">
            <v>-2.0244558323608549E-2</v>
          </cell>
          <cell r="R102">
            <v>2.0062416406598307E-2</v>
          </cell>
          <cell r="V102">
            <v>-5.566368236667963E-2</v>
          </cell>
          <cell r="Y102">
            <v>-0.10493150684931507</v>
          </cell>
        </row>
        <row r="103">
          <cell r="C103">
            <v>-2.1319971124796049E-2</v>
          </cell>
          <cell r="F103">
            <v>8.8438835741909194E-2</v>
          </cell>
          <cell r="J103">
            <v>2.796747967479675E-2</v>
          </cell>
          <cell r="N103">
            <v>1.5090646889163671E-2</v>
          </cell>
          <cell r="R103">
            <v>-3.9964476021314387E-3</v>
          </cell>
          <cell r="V103">
            <v>3.5052377115229696E-2</v>
          </cell>
          <cell r="Y103">
            <v>0.16279069767441864</v>
          </cell>
        </row>
        <row r="104">
          <cell r="C104">
            <v>-1.2666470150862528E-2</v>
          </cell>
          <cell r="F104">
            <v>-1.0174272186964753E-2</v>
          </cell>
          <cell r="J104">
            <v>4.5918367346938778E-2</v>
          </cell>
          <cell r="N104">
            <v>1.1724245740190715E-2</v>
          </cell>
          <cell r="R104">
            <v>6.7129995261412098E-2</v>
          </cell>
          <cell r="V104">
            <v>7.3051948051947938E-3</v>
          </cell>
          <cell r="Y104">
            <v>9.7552447552447533E-2</v>
          </cell>
        </row>
        <row r="105">
          <cell r="C105">
            <v>6.1632467984118022E-4</v>
          </cell>
          <cell r="F105">
            <v>-0.12844600526777883</v>
          </cell>
          <cell r="J105">
            <v>-2.5198938992042442E-2</v>
          </cell>
          <cell r="N105">
            <v>-1.7760262053434357E-2</v>
          </cell>
          <cell r="R105">
            <v>-7.4550504312235047E-2</v>
          </cell>
          <cell r="V105">
            <v>-3.7123876514263354E-2</v>
          </cell>
          <cell r="Y105">
            <v>2.6745647101059061E-2</v>
          </cell>
        </row>
        <row r="106">
          <cell r="C106">
            <v>1.7911236982200908E-2</v>
          </cell>
          <cell r="F106">
            <v>8.7870105062082163E-2</v>
          </cell>
          <cell r="J106">
            <v>1.6514998314796091E-2</v>
          </cell>
          <cell r="N106">
            <v>1.3276631054869779E-2</v>
          </cell>
          <cell r="R106">
            <v>2.5329736211031174E-2</v>
          </cell>
          <cell r="V106">
            <v>2.1149241819632927E-2</v>
          </cell>
          <cell r="Y106">
            <v>0.14558914250462662</v>
          </cell>
        </row>
        <row r="107">
          <cell r="C107">
            <v>6.1558258073262789E-2</v>
          </cell>
          <cell r="F107">
            <v>-4.234885209914932E-2</v>
          </cell>
          <cell r="J107">
            <v>-2.9758011772400263E-2</v>
          </cell>
          <cell r="N107">
            <v>-2.7487769203611238E-2</v>
          </cell>
          <cell r="R107">
            <v>-1.3455567056040219E-2</v>
          </cell>
          <cell r="V107">
            <v>-4.0214477211796273E-2</v>
          </cell>
          <cell r="Y107">
            <v>2.9206349206349375E-2</v>
          </cell>
        </row>
        <row r="108">
          <cell r="C108">
            <v>-2.8774252865066286E-2</v>
          </cell>
          <cell r="F108">
            <v>-5.489280774550491E-2</v>
          </cell>
          <cell r="J108">
            <v>1.0575016523463317E-2</v>
          </cell>
          <cell r="N108">
            <v>8.9562872118467956E-3</v>
          </cell>
          <cell r="R108">
            <v>8.6502609992542886E-3</v>
          </cell>
          <cell r="V108">
            <v>1.2800620636151989E-2</v>
          </cell>
          <cell r="Y108">
            <v>-5.801435406698572E-2</v>
          </cell>
        </row>
        <row r="109">
          <cell r="C109">
            <v>-1.2721653951854709E-2</v>
          </cell>
          <cell r="F109">
            <v>0.26301998034719948</v>
          </cell>
          <cell r="J109">
            <v>0.14708112206216831</v>
          </cell>
          <cell r="N109">
            <v>4.1664457990988557E-2</v>
          </cell>
          <cell r="R109">
            <v>5.4079547240999844E-2</v>
          </cell>
          <cell r="V109">
            <v>7.4166666666666714E-2</v>
          </cell>
          <cell r="Y109">
            <v>0.12214765100671147</v>
          </cell>
        </row>
        <row r="110">
          <cell r="C110">
            <v>8.2274245953545978E-3</v>
          </cell>
          <cell r="F110">
            <v>5.709893488525423E-3</v>
          </cell>
          <cell r="J110">
            <v>8.0244554833779139E-3</v>
          </cell>
          <cell r="N110">
            <v>-6.37311703360366E-3</v>
          </cell>
          <cell r="R110">
            <v>-7.0246643771464251E-3</v>
          </cell>
          <cell r="V110">
            <v>4.1684035014595929E-4</v>
          </cell>
          <cell r="Y110">
            <v>8.801624915368924E-3</v>
          </cell>
        </row>
        <row r="111">
          <cell r="C111">
            <v>-1.5789926312168547E-2</v>
          </cell>
          <cell r="F111">
            <v>-2.1804511278195503E-2</v>
          </cell>
          <cell r="J111">
            <v>4.9923195084485405E-3</v>
          </cell>
          <cell r="N111">
            <v>3.1399391568883071E-2</v>
          </cell>
          <cell r="R111">
            <v>1.1686670878079595E-2</v>
          </cell>
          <cell r="V111">
            <v>2.6529738981600232E-2</v>
          </cell>
          <cell r="Y111">
            <v>0.12433392539964482</v>
          </cell>
        </row>
        <row r="112">
          <cell r="C112">
            <v>-1.8195634736353147E-2</v>
          </cell>
          <cell r="F112">
            <v>8.5581193803487381E-3</v>
          </cell>
          <cell r="J112">
            <v>4.9153908138597907E-2</v>
          </cell>
          <cell r="N112">
            <v>1.8930587844569937E-2</v>
          </cell>
          <cell r="R112">
            <v>1.8989378822014805E-2</v>
          </cell>
          <cell r="V112">
            <v>3.9590747330960879E-2</v>
          </cell>
          <cell r="Y112">
            <v>-0.13801399825021876</v>
          </cell>
        </row>
        <row r="113">
          <cell r="C113">
            <v>1.5496914381127378E-2</v>
          </cell>
          <cell r="F113">
            <v>6.3234277816171497E-2</v>
          </cell>
          <cell r="J113">
            <v>-2.4371069182389939E-2</v>
          </cell>
          <cell r="N113">
            <v>1.2157543839990933E-2</v>
          </cell>
          <cell r="R113">
            <v>5.6802721088435378E-2</v>
          </cell>
          <cell r="V113">
            <v>8.0717488789237533E-3</v>
          </cell>
          <cell r="Y113">
            <v>-1.4442767837896135E-2</v>
          </cell>
        </row>
        <row r="114">
          <cell r="C114">
            <v>7.7104280640483422E-3</v>
          </cell>
          <cell r="F114">
            <v>1.9732205778717319E-2</v>
          </cell>
          <cell r="J114">
            <v>3.204868154158215E-2</v>
          </cell>
          <cell r="N114">
            <v>-2.5603231793863885E-2</v>
          </cell>
          <cell r="R114">
            <v>3.9420187378469154E-2</v>
          </cell>
          <cell r="V114">
            <v>-8.2682023858494366E-2</v>
          </cell>
          <cell r="Y114">
            <v>0.16004001000250065</v>
          </cell>
        </row>
        <row r="115">
          <cell r="C115">
            <v>-5.681289340210402E-2</v>
          </cell>
          <cell r="F115">
            <v>1.5748031496063082E-2</v>
          </cell>
          <cell r="J115">
            <v>3.3542976939203356E-2</v>
          </cell>
          <cell r="N115">
            <v>8.4227910817505948E-3</v>
          </cell>
          <cell r="R115">
            <v>4.2380689146858302E-2</v>
          </cell>
          <cell r="V115">
            <v>6.1108686163247425E-2</v>
          </cell>
          <cell r="Y115">
            <v>-6.1708118254340562E-2</v>
          </cell>
        </row>
        <row r="116">
          <cell r="C116">
            <v>-3.0318385813217752E-3</v>
          </cell>
          <cell r="F116">
            <v>6.2357414448669039E-2</v>
          </cell>
          <cell r="J116">
            <v>-1.73053152039555E-2</v>
          </cell>
          <cell r="N116">
            <v>1.0851419031719533E-2</v>
          </cell>
          <cell r="R116">
            <v>-3.1930074919728865E-2</v>
          </cell>
          <cell r="V116">
            <v>2.3224653863331824E-2</v>
          </cell>
          <cell r="Y116">
            <v>8.8355464759959049E-2</v>
          </cell>
        </row>
        <row r="117">
          <cell r="C117">
            <v>-1.8704706914132604E-2</v>
          </cell>
          <cell r="F117">
            <v>4.9062624650977424E-2</v>
          </cell>
          <cell r="J117">
            <v>2.2756005056890013E-2</v>
          </cell>
          <cell r="N117">
            <v>-1.6689466484268126E-2</v>
          </cell>
          <cell r="R117">
            <v>5.4750705550329258E-2</v>
          </cell>
          <cell r="V117">
            <v>-4.0291470210029913E-2</v>
          </cell>
          <cell r="Y117">
            <v>4.9865951742627333E-2</v>
          </cell>
        </row>
        <row r="118">
          <cell r="C118">
            <v>8.5467191728791012E-3</v>
          </cell>
          <cell r="F118">
            <v>1.9243799972895884E-2</v>
          </cell>
          <cell r="J118">
            <v>-2.0635575732562937E-2</v>
          </cell>
          <cell r="N118">
            <v>8.9995583038869013E-3</v>
          </cell>
          <cell r="R118">
            <v>-2.43993993993994E-3</v>
          </cell>
          <cell r="V118">
            <v>1.7444395987788863E-2</v>
          </cell>
          <cell r="Y118">
            <v>-2.6802465826853122E-4</v>
          </cell>
        </row>
        <row r="119">
          <cell r="C119">
            <v>2.2756587831988563E-2</v>
          </cell>
          <cell r="F119">
            <v>4.1349139147615115E-2</v>
          </cell>
          <cell r="J119">
            <v>2.1070375052675939E-2</v>
          </cell>
          <cell r="N119">
            <v>4.1024503825258293E-3</v>
          </cell>
          <cell r="R119">
            <v>3.6374246255592296E-2</v>
          </cell>
          <cell r="V119">
            <v>1.8658374055975039E-2</v>
          </cell>
          <cell r="Y119">
            <v>1.1111111111111091E-2</v>
          </cell>
        </row>
        <row r="120">
          <cell r="C120">
            <v>-1.9392956736176862E-2</v>
          </cell>
          <cell r="F120">
            <v>-1.1301799916282995E-2</v>
          </cell>
          <cell r="J120">
            <v>8.0713678844519972E-3</v>
          </cell>
          <cell r="N120">
            <v>1.1722474620001045E-2</v>
          </cell>
          <cell r="R120">
            <v>1.3803983435219878E-2</v>
          </cell>
          <cell r="V120">
            <v>1.5794223826714866E-2</v>
          </cell>
          <cell r="Y120">
            <v>-5.9872611464968126E-2</v>
          </cell>
        </row>
        <row r="121">
          <cell r="C121">
            <v>3.8248909865305873E-2</v>
          </cell>
          <cell r="F121">
            <v>8.1648053124056694E-2</v>
          </cell>
          <cell r="J121">
            <v>4.2662116040955633E-3</v>
          </cell>
          <cell r="N121">
            <v>5.0505050505055612E-4</v>
          </cell>
          <cell r="R121">
            <v>3.9455513908068652E-4</v>
          </cell>
          <cell r="V121">
            <v>-1.2477718360071352E-2</v>
          </cell>
          <cell r="Y121">
            <v>-5.0096805421103549E-2</v>
          </cell>
        </row>
        <row r="122">
          <cell r="C122">
            <v>-1.2229520613238875E-2</v>
          </cell>
          <cell r="F122">
            <v>-2.7732942039618496E-2</v>
          </cell>
          <cell r="J122">
            <v>-1.2782275244993609E-3</v>
          </cell>
          <cell r="N122">
            <v>-1.8484288354898082E-3</v>
          </cell>
          <cell r="R122">
            <v>1.1574536020754341E-2</v>
          </cell>
          <cell r="V122">
            <v>-2.8991778450886983E-2</v>
          </cell>
          <cell r="Y122">
            <v>-0.24141729392326058</v>
          </cell>
        </row>
        <row r="123">
          <cell r="C123">
            <v>-2.1996781581792978E-2</v>
          </cell>
          <cell r="F123">
            <v>-0.10446780551905374</v>
          </cell>
          <cell r="J123">
            <v>2.803328953131844E-2</v>
          </cell>
          <cell r="N123">
            <v>-3.5598530682800396E-2</v>
          </cell>
          <cell r="R123">
            <v>-8.3118939244013462E-3</v>
          </cell>
          <cell r="V123">
            <v>-6.7393058918482712E-2</v>
          </cell>
          <cell r="Y123">
            <v>7.5419545903257584E-2</v>
          </cell>
        </row>
        <row r="124">
          <cell r="C124">
            <v>3.2266675208472771E-3</v>
          </cell>
          <cell r="F124">
            <v>-5.8051739076618536E-2</v>
          </cell>
          <cell r="J124">
            <v>-1.126028583802512E-2</v>
          </cell>
          <cell r="N124">
            <v>-8.9405214411906655E-3</v>
          </cell>
          <cell r="R124">
            <v>2.3703403565640196E-2</v>
          </cell>
          <cell r="V124">
            <v>-2.2099447513812105E-2</v>
          </cell>
          <cell r="Y124">
            <v>5.7190565643915676E-2</v>
          </cell>
        </row>
        <row r="125">
          <cell r="C125">
            <v>-3.1250465670255184E-3</v>
          </cell>
          <cell r="F125">
            <v>-5.9062384643778732E-3</v>
          </cell>
          <cell r="J125">
            <v>4.3851717902350811E-2</v>
          </cell>
          <cell r="N125">
            <v>2.8352785730015415E-2</v>
          </cell>
          <cell r="R125">
            <v>3.5017823443069827E-2</v>
          </cell>
          <cell r="V125">
            <v>4.9275362318840638E-2</v>
          </cell>
          <cell r="Y125">
            <v>-0.13143582306018847</v>
          </cell>
        </row>
        <row r="126">
          <cell r="C126">
            <v>2.0009206623557586E-2</v>
          </cell>
          <cell r="F126">
            <v>-2.7521837980136382E-2</v>
          </cell>
          <cell r="J126">
            <v>-2.6836779586449627E-2</v>
          </cell>
          <cell r="N126">
            <v>1.87324733595065E-2</v>
          </cell>
          <cell r="R126">
            <v>-3.5201294760267045E-2</v>
          </cell>
          <cell r="V126">
            <v>8.7719298245612903E-3</v>
          </cell>
          <cell r="Y126">
            <v>1.6586804275709521E-2</v>
          </cell>
        </row>
        <row r="127">
          <cell r="C127">
            <v>1.330722348126482E-2</v>
          </cell>
          <cell r="F127">
            <v>-2.2683858643745454E-3</v>
          </cell>
          <cell r="J127">
            <v>5.6226765799256506E-2</v>
          </cell>
          <cell r="N127">
            <v>-6.9618490671122246E-3</v>
          </cell>
          <cell r="R127">
            <v>1.2494879147890209E-2</v>
          </cell>
          <cell r="V127">
            <v>-2.0057306590257815E-2</v>
          </cell>
          <cell r="Y127">
            <v>2.7651515151515132E-2</v>
          </cell>
        </row>
        <row r="128">
          <cell r="C128">
            <v>1.6444624354504268E-2</v>
          </cell>
          <cell r="F128">
            <v>1.7987360233349587E-2</v>
          </cell>
          <cell r="J128">
            <v>2.3300047551117451E-2</v>
          </cell>
          <cell r="N128">
            <v>1.6014033499320932E-2</v>
          </cell>
          <cell r="R128">
            <v>2.2582631903099977E-3</v>
          </cell>
          <cell r="V128">
            <v>4.7149592798971345E-2</v>
          </cell>
          <cell r="Y128">
            <v>-2.4029574861367815E-2</v>
          </cell>
        </row>
        <row r="129">
          <cell r="C129">
            <v>1.8224505504014662E-2</v>
          </cell>
          <cell r="F129">
            <v>3.6925015752993159E-2</v>
          </cell>
          <cell r="J129">
            <v>-8.9538171536286525E-3</v>
          </cell>
          <cell r="N129">
            <v>6.2062290041565169E-3</v>
          </cell>
          <cell r="R129">
            <v>-2.0313757039420757E-2</v>
          </cell>
          <cell r="V129">
            <v>2.8659611992945266E-2</v>
          </cell>
          <cell r="Y129">
            <v>-2.785265049415997E-2</v>
          </cell>
        </row>
        <row r="130">
          <cell r="C130">
            <v>7.8723169858436418E-3</v>
          </cell>
          <cell r="F130">
            <v>4.5730100158144424E-2</v>
          </cell>
          <cell r="J130">
            <v>-2.0313942751615882E-2</v>
          </cell>
          <cell r="N130">
            <v>-3.984063745020179E-4</v>
          </cell>
          <cell r="R130">
            <v>-2.8078620136381869E-3</v>
          </cell>
          <cell r="V130">
            <v>7.5521990226565146E-3</v>
          </cell>
          <cell r="Y130">
            <v>-9.6102509343298417E-3</v>
          </cell>
        </row>
        <row r="131">
          <cell r="C131">
            <v>-2.209414024975976E-2</v>
          </cell>
          <cell r="F131">
            <v>2.5682616923492718E-2</v>
          </cell>
          <cell r="J131">
            <v>2.8001898433792121E-2</v>
          </cell>
          <cell r="N131">
            <v>4.172143796079302E-3</v>
          </cell>
          <cell r="R131">
            <v>-2.9961089494163425E-2</v>
          </cell>
          <cell r="V131">
            <v>5.3595355069227775E-3</v>
          </cell>
          <cell r="Y131">
            <v>9.3190661478599252E-2</v>
          </cell>
        </row>
        <row r="132">
          <cell r="C132">
            <v>5.0733252274423766E-3</v>
          </cell>
          <cell r="F132">
            <v>2.7928303459774977E-2</v>
          </cell>
          <cell r="J132">
            <v>-9.4831673779042201E-4</v>
          </cell>
          <cell r="N132">
            <v>1.7148736709726449E-4</v>
          </cell>
          <cell r="R132">
            <v>7.7881619937694702E-4</v>
          </cell>
          <cell r="V132">
            <v>4.0358744394618767E-3</v>
          </cell>
          <cell r="Y132">
            <v>6.856023506366161E-3</v>
          </cell>
        </row>
        <row r="133">
          <cell r="C133">
            <v>-5.7394955344527059E-3</v>
          </cell>
          <cell r="F133">
            <v>3.2271944922547334E-2</v>
          </cell>
          <cell r="J133">
            <v>4.8731974142217804E-2</v>
          </cell>
          <cell r="N133">
            <v>-2.2463120250335169E-2</v>
          </cell>
          <cell r="R133">
            <v>6.861399725544011E-3</v>
          </cell>
          <cell r="V133">
            <v>-6.4989517819706522E-2</v>
          </cell>
          <cell r="Y133">
            <v>3.3819360064803711E-2</v>
          </cell>
        </row>
        <row r="134">
          <cell r="C134">
            <v>-1.6944369111638886E-2</v>
          </cell>
          <cell r="F134">
            <v>6.2058017029873371E-3</v>
          </cell>
          <cell r="J134">
            <v>-1.0334645669291339E-2</v>
          </cell>
          <cell r="N134">
            <v>-2.2557212299961864E-2</v>
          </cell>
          <cell r="R134">
            <v>-6.040530007794232E-3</v>
          </cell>
          <cell r="V134">
            <v>-3.6752827140549275E-2</v>
          </cell>
          <cell r="Y134">
            <v>4.7962648556876056E-2</v>
          </cell>
        </row>
        <row r="135">
          <cell r="C135">
            <v>5.7790777869193262E-3</v>
          </cell>
          <cell r="F135">
            <v>8.0011638056446226E-3</v>
          </cell>
          <cell r="J135">
            <v>-8.9605734767025089E-2</v>
          </cell>
          <cell r="N135">
            <v>7.8718485082022362E-3</v>
          </cell>
          <cell r="R135">
            <v>-5.6097112378149717E-2</v>
          </cell>
          <cell r="V135">
            <v>2.9093931837074101E-2</v>
          </cell>
          <cell r="Y135">
            <v>7.82608695652173E-2</v>
          </cell>
        </row>
        <row r="136">
          <cell r="C136">
            <v>1.5242014827756186E-2</v>
          </cell>
          <cell r="F136">
            <v>0.10301668806161737</v>
          </cell>
          <cell r="J136">
            <v>3.5730858468677497E-2</v>
          </cell>
          <cell r="N136">
            <v>1.9988770353733806E-2</v>
          </cell>
          <cell r="R136">
            <v>5.0628019323671496E-2</v>
          </cell>
          <cell r="V136">
            <v>4.155844155844144E-2</v>
          </cell>
          <cell r="Y136">
            <v>0.13477018956115297</v>
          </cell>
        </row>
        <row r="137">
          <cell r="C137">
            <v>-5.8930170098477905E-3</v>
          </cell>
          <cell r="F137">
            <v>-8.9421390999415512E-2</v>
          </cell>
          <cell r="J137">
            <v>-5.1913770347558293E-2</v>
          </cell>
          <cell r="N137">
            <v>3.2672374943668063E-3</v>
          </cell>
          <cell r="R137">
            <v>-9.1627172195892573E-2</v>
          </cell>
          <cell r="V137">
            <v>-2.8186790071518645E-2</v>
          </cell>
          <cell r="Y137">
            <v>-2.5900025900026497E-3</v>
          </cell>
        </row>
        <row r="138">
          <cell r="C138">
            <v>7.0956515467076806E-3</v>
          </cell>
          <cell r="F138">
            <v>2.3432923257175834E-3</v>
          </cell>
          <cell r="J138">
            <v>2.3873873873873873E-2</v>
          </cell>
          <cell r="N138">
            <v>8.6363636363636625E-3</v>
          </cell>
          <cell r="R138">
            <v>1.4062225347161188E-3</v>
          </cell>
          <cell r="V138">
            <v>-2.2213081036610415E-2</v>
          </cell>
          <cell r="Y138">
            <v>-6.7391304347825962E-2</v>
          </cell>
        </row>
        <row r="139">
          <cell r="C139">
            <v>9.3873855016541035E-3</v>
          </cell>
          <cell r="F139">
            <v>-7.6673427991886436E-2</v>
          </cell>
          <cell r="J139">
            <v>1.4625228519195612E-2</v>
          </cell>
          <cell r="N139">
            <v>-2.9019088602008115E-2</v>
          </cell>
          <cell r="R139">
            <v>5.301289980561937E-3</v>
          </cell>
          <cell r="V139">
            <v>-4.7786917352134833E-2</v>
          </cell>
          <cell r="Y139">
            <v>5.7741440981093392E-2</v>
          </cell>
        </row>
        <row r="140">
          <cell r="C140">
            <v>-3.7467785184697698E-3</v>
          </cell>
          <cell r="F140">
            <v>2.6085749965311638E-2</v>
          </cell>
          <cell r="J140">
            <v>-4.5682960255824577E-4</v>
          </cell>
          <cell r="N140">
            <v>6.2173864771843113E-3</v>
          </cell>
          <cell r="R140">
            <v>9.8144182726623841E-3</v>
          </cell>
          <cell r="V140">
            <v>1.2291831879460835E-2</v>
          </cell>
          <cell r="Y140">
            <v>-3.5960591133004795E-2</v>
          </cell>
        </row>
        <row r="141">
          <cell r="C141">
            <v>1.955786243171043E-2</v>
          </cell>
          <cell r="F141">
            <v>3.6206656454531526E-3</v>
          </cell>
          <cell r="J141">
            <v>-1.5737410071942445E-2</v>
          </cell>
          <cell r="N141">
            <v>-7.2196197299531049E-3</v>
          </cell>
          <cell r="R141">
            <v>-3.6947929197456611E-2</v>
          </cell>
          <cell r="V141">
            <v>-2.1722265321955092E-2</v>
          </cell>
          <cell r="Y141">
            <v>0.10506260206859</v>
          </cell>
        </row>
        <row r="142">
          <cell r="C142">
            <v>-9.7012278152213208E-3</v>
          </cell>
          <cell r="F142">
            <v>-3.6883047210300425E-2</v>
          </cell>
          <cell r="J142">
            <v>-0.11710996427153632</v>
          </cell>
          <cell r="N142">
            <v>2.4861878453038672E-3</v>
          </cell>
          <cell r="R142">
            <v>3.6146723646723646E-2</v>
          </cell>
          <cell r="V142">
            <v>-1.6405951926745505E-2</v>
          </cell>
          <cell r="Y142">
            <v>0</v>
          </cell>
        </row>
        <row r="143">
          <cell r="C143">
            <v>3.9541947550053615E-3</v>
          </cell>
          <cell r="F143">
            <v>-7.982969664715199E-3</v>
          </cell>
          <cell r="J143">
            <v>-9.6808892076012912E-2</v>
          </cell>
          <cell r="N143">
            <v>1.537080668686194E-2</v>
          </cell>
          <cell r="R143">
            <v>-3.2891338040296196E-2</v>
          </cell>
          <cell r="V143">
            <v>-1.019637462235648E-2</v>
          </cell>
          <cell r="Y143">
            <v>-7.0270270270270932E-3</v>
          </cell>
        </row>
        <row r="144">
          <cell r="C144">
            <v>1.6735580629336402E-2</v>
          </cell>
          <cell r="F144">
            <v>1.4989871708305192E-2</v>
          </cell>
          <cell r="J144">
            <v>9.5443833464257666E-2</v>
          </cell>
          <cell r="N144">
            <v>3.3772374197906115E-3</v>
          </cell>
          <cell r="R144">
            <v>9.1746568903929307E-2</v>
          </cell>
          <cell r="V144">
            <v>1.5337423312883519E-2</v>
          </cell>
          <cell r="Y144">
            <v>5.8352402745995478E-2</v>
          </cell>
        </row>
        <row r="145">
          <cell r="C145">
            <v>2.7421425914147538E-2</v>
          </cell>
          <cell r="F145">
            <v>3.3640424343941884E-2</v>
          </cell>
          <cell r="J145">
            <v>-2.8615032430370089E-2</v>
          </cell>
          <cell r="N145">
            <v>4.9210928219920909E-3</v>
          </cell>
          <cell r="R145">
            <v>-4.7457020057306593E-2</v>
          </cell>
          <cell r="V145">
            <v>4.6224961479197782E-3</v>
          </cell>
          <cell r="Y145">
            <v>8.7402799377916063E-2</v>
          </cell>
        </row>
        <row r="146">
          <cell r="C146">
            <v>-1.9067956227751256E-2</v>
          </cell>
          <cell r="F146">
            <v>1.029473981102812E-2</v>
          </cell>
          <cell r="J146">
            <v>-4.2731921110299491E-2</v>
          </cell>
          <cell r="N146">
            <v>-5.8325343560242889E-2</v>
          </cell>
          <cell r="R146">
            <v>-7.4577394763009619E-2</v>
          </cell>
          <cell r="V146">
            <v>-7.7141841450408755E-2</v>
          </cell>
          <cell r="Y146">
            <v>-2.4575242718446591E-2</v>
          </cell>
        </row>
        <row r="147">
          <cell r="C147">
            <v>4.149044064975513E-3</v>
          </cell>
          <cell r="F147">
            <v>1.8529158287848204E-2</v>
          </cell>
          <cell r="J147">
            <v>2.5631636763090442E-3</v>
          </cell>
          <cell r="N147">
            <v>-6.5615409037992718E-3</v>
          </cell>
          <cell r="R147">
            <v>-4.7513812154696133E-2</v>
          </cell>
          <cell r="V147">
            <v>8.9670014347202291E-3</v>
          </cell>
          <cell r="Y147">
            <v>6.4255731352922132E-2</v>
          </cell>
        </row>
        <row r="148">
          <cell r="C148">
            <v>6.1320945455757957E-3</v>
          </cell>
          <cell r="F148">
            <v>4.9758745476477857E-2</v>
          </cell>
          <cell r="J148">
            <v>3.9588884659307197E-2</v>
          </cell>
          <cell r="N148">
            <v>-6.6754270696452274E-3</v>
          </cell>
          <cell r="R148">
            <v>3.4792551453773274E-2</v>
          </cell>
          <cell r="V148">
            <v>-3.929974991068219E-3</v>
          </cell>
          <cell r="Y148">
            <v>3.7173476222370987E-2</v>
          </cell>
        </row>
        <row r="149">
          <cell r="C149">
            <v>1.1610111986448053E-2</v>
          </cell>
          <cell r="F149">
            <v>4.3095312991506686E-2</v>
          </cell>
          <cell r="J149">
            <v>-4.169825625473844E-3</v>
          </cell>
          <cell r="N149">
            <v>1.374753556775188E-2</v>
          </cell>
          <cell r="R149">
            <v>2.7846027846027844E-3</v>
          </cell>
          <cell r="V149">
            <v>1.8929741536221317E-2</v>
          </cell>
          <cell r="Y149">
            <v>2.752924982794221E-2</v>
          </cell>
        </row>
        <row r="150">
          <cell r="C150">
            <v>-4.3101692681818205E-3</v>
          </cell>
          <cell r="F150">
            <v>-2.7382591402784245E-2</v>
          </cell>
          <cell r="J150">
            <v>-3.7226277372262771E-2</v>
          </cell>
          <cell r="N150">
            <v>2.1111050655639563E-2</v>
          </cell>
          <cell r="R150">
            <v>-4.8324240062353856E-2</v>
          </cell>
          <cell r="V150">
            <v>4.3875685557585899E-3</v>
          </cell>
          <cell r="Y150">
            <v>-1.8574805808848266E-2</v>
          </cell>
        </row>
        <row r="151">
          <cell r="C151">
            <v>-1.3880357227236214E-2</v>
          </cell>
          <cell r="F151">
            <v>7.2419106317411219E-3</v>
          </cell>
          <cell r="J151">
            <v>-0.11355548366224523</v>
          </cell>
          <cell r="N151">
            <v>3.7136147670799968E-3</v>
          </cell>
          <cell r="R151">
            <v>-1.0641579272054287E-2</v>
          </cell>
          <cell r="V151">
            <v>-4.0058266569555512E-3</v>
          </cell>
          <cell r="Y151">
            <v>1.0141987829613488E-3</v>
          </cell>
        </row>
        <row r="152">
          <cell r="C152">
            <v>1.2300384820516815E-2</v>
          </cell>
          <cell r="F152">
            <v>2.0761245674740601E-2</v>
          </cell>
          <cell r="J152">
            <v>4.4256756756756756E-2</v>
          </cell>
          <cell r="N152">
            <v>3.6100265942397985E-2</v>
          </cell>
          <cell r="R152">
            <v>3.1826861871419476E-2</v>
          </cell>
          <cell r="V152">
            <v>6.2282398452611194E-2</v>
          </cell>
          <cell r="Y152">
            <v>9.2118730808598212E-3</v>
          </cell>
        </row>
        <row r="153">
          <cell r="C153">
            <v>2.3922472052572024E-4</v>
          </cell>
          <cell r="F153">
            <v>2.3173479240424809E-2</v>
          </cell>
          <cell r="J153">
            <v>0.12890922959572845</v>
          </cell>
          <cell r="N153">
            <v>-5.4586381541924852E-3</v>
          </cell>
          <cell r="R153">
            <v>2.0295502516642312E-2</v>
          </cell>
          <cell r="V153">
            <v>-8.8190184049078569E-3</v>
          </cell>
          <cell r="Y153">
            <v>7.3626373626373656E-2</v>
          </cell>
        </row>
        <row r="154">
          <cell r="C154">
            <v>-1.2662855067651141E-3</v>
          </cell>
          <cell r="F154">
            <v>-1.5681926184064658E-2</v>
          </cell>
          <cell r="J154">
            <v>0.11955593509820667</v>
          </cell>
          <cell r="N154">
            <v>-1.1242270938729624E-3</v>
          </cell>
          <cell r="R154">
            <v>7.4306645735217169E-2</v>
          </cell>
          <cell r="V154">
            <v>-7.6628352490433428E-4</v>
          </cell>
          <cell r="Y154">
            <v>1.865671641791038E-2</v>
          </cell>
        </row>
        <row r="155">
          <cell r="C155">
            <v>1.3725537686494883E-2</v>
          </cell>
          <cell r="F155">
            <v>6.4227916385704686E-2</v>
          </cell>
          <cell r="J155">
            <v>1.429190125595496E-2</v>
          </cell>
          <cell r="N155">
            <v>2.0478403028738625E-2</v>
          </cell>
          <cell r="R155">
            <v>2.1560940841054883E-2</v>
          </cell>
          <cell r="V155">
            <v>3.1212959304622787E-2</v>
          </cell>
          <cell r="Y155">
            <v>6.0965954077593178E-2</v>
          </cell>
        </row>
        <row r="156">
          <cell r="C156">
            <v>2.7097891225338205E-2</v>
          </cell>
          <cell r="F156">
            <v>-3.466232709519939E-2</v>
          </cell>
          <cell r="J156">
            <v>3.1263957123715942E-2</v>
          </cell>
          <cell r="N156">
            <v>9.7306689834925891E-3</v>
          </cell>
          <cell r="R156">
            <v>7.1326676176890159E-4</v>
          </cell>
          <cell r="V156">
            <v>1.524267950260726E-2</v>
          </cell>
          <cell r="Y156">
            <v>-4.2819249715801443E-2</v>
          </cell>
        </row>
        <row r="157">
          <cell r="C157">
            <v>1.1405093419615837E-2</v>
          </cell>
          <cell r="F157">
            <v>7.8727242906348038E-3</v>
          </cell>
          <cell r="J157">
            <v>1.3122171945701358E-2</v>
          </cell>
          <cell r="N157">
            <v>-3.2906130931763338E-3</v>
          </cell>
          <cell r="R157">
            <v>1.0710460549803642E-3</v>
          </cell>
          <cell r="V157">
            <v>-6.3770426464727038E-3</v>
          </cell>
          <cell r="Y157">
            <v>3.2068830660930719E-2</v>
          </cell>
        </row>
        <row r="158">
          <cell r="C158">
            <v>1.570110653957222E-2</v>
          </cell>
          <cell r="F158">
            <v>-7.3266037121459265E-3</v>
          </cell>
          <cell r="J158">
            <v>-9.4128193635141192E-3</v>
          </cell>
          <cell r="N158">
            <v>-5.2831055472608501E-3</v>
          </cell>
          <cell r="R158">
            <v>-1.1120917917034422E-2</v>
          </cell>
          <cell r="V158">
            <v>-4.5644731837200428E-2</v>
          </cell>
          <cell r="Y158">
            <v>8.6785009861932143E-3</v>
          </cell>
        </row>
        <row r="159">
          <cell r="C159">
            <v>-7.6686260885442887E-3</v>
          </cell>
          <cell r="F159">
            <v>-6.3862216125590579E-2</v>
          </cell>
          <cell r="J159">
            <v>1.5475648611743286E-2</v>
          </cell>
          <cell r="N159">
            <v>1.2736260540854952E-2</v>
          </cell>
          <cell r="R159">
            <v>3.5316969803990818E-4</v>
          </cell>
          <cell r="V159">
            <v>1.5842349304482233E-2</v>
          </cell>
          <cell r="Y159">
            <v>-2.4999999999999977E-2</v>
          </cell>
        </row>
        <row r="160">
          <cell r="C160">
            <v>2.6392916078856018E-2</v>
          </cell>
          <cell r="F160">
            <v>-7.2628234226055979E-3</v>
          </cell>
          <cell r="J160">
            <v>-2.2686832740213523E-2</v>
          </cell>
          <cell r="N160">
            <v>1.2661955241460542E-2</v>
          </cell>
          <cell r="R160">
            <v>-1.289872755795712E-2</v>
          </cell>
          <cell r="V160">
            <v>2.4544734758511377E-2</v>
          </cell>
          <cell r="Y160">
            <v>-3.739355794150314E-2</v>
          </cell>
        </row>
        <row r="161">
          <cell r="C161">
            <v>8.0789263083321204E-3</v>
          </cell>
          <cell r="F161">
            <v>7.4634146341463467E-2</v>
          </cell>
          <cell r="J161">
            <v>1.1701170117011701E-2</v>
          </cell>
          <cell r="N161">
            <v>-1.7417973496904063E-2</v>
          </cell>
          <cell r="R161">
            <v>2.0636897349226118E-2</v>
          </cell>
          <cell r="V161">
            <v>-4.3181818181818071E-2</v>
          </cell>
          <cell r="Y161">
            <v>-2.5261638397690307E-2</v>
          </cell>
        </row>
        <row r="162">
          <cell r="C162">
            <v>-2.4460479533930071E-2</v>
          </cell>
          <cell r="F162">
            <v>3.8149898717083019E-2</v>
          </cell>
          <cell r="J162">
            <v>2.3491478581298939E-2</v>
          </cell>
          <cell r="N162">
            <v>-2.6861133010474179E-2</v>
          </cell>
          <cell r="R162">
            <v>2.0330368487928845E-2</v>
          </cell>
          <cell r="V162">
            <v>-3.1192660550458769E-2</v>
          </cell>
          <cell r="Y162">
            <v>-9.7100032583903567E-2</v>
          </cell>
        </row>
        <row r="163">
          <cell r="C163">
            <v>-7.1464332639529261E-3</v>
          </cell>
          <cell r="F163">
            <v>-3.8674962165797357E-3</v>
          </cell>
          <cell r="J163">
            <v>7.4245939675174014E-3</v>
          </cell>
          <cell r="N163">
            <v>-2.5142731664470772E-2</v>
          </cell>
          <cell r="R163">
            <v>3.8265306122448979E-3</v>
          </cell>
          <cell r="V163">
            <v>-2.5622254758418846E-3</v>
          </cell>
          <cell r="Y163">
            <v>5.3914835164835175E-2</v>
          </cell>
        </row>
        <row r="164">
          <cell r="C164">
            <v>1.2349395265550591E-2</v>
          </cell>
          <cell r="F164">
            <v>4.6086191732629685E-2</v>
          </cell>
          <cell r="J164">
            <v>-1.7775752051048314E-2</v>
          </cell>
          <cell r="N164">
            <v>5.9086642001213857E-3</v>
          </cell>
          <cell r="R164">
            <v>3.8412291933418692E-3</v>
          </cell>
          <cell r="V164">
            <v>1.1477230655312799E-2</v>
          </cell>
          <cell r="Y164">
            <v>1.7114914425427848E-2</v>
          </cell>
        </row>
        <row r="165">
          <cell r="C165">
            <v>4.6467110364435293E-2</v>
          </cell>
          <cell r="F165">
            <v>8.9080459770114917E-2</v>
          </cell>
          <cell r="J165">
            <v>2.7422303473491772E-3</v>
          </cell>
          <cell r="N165">
            <v>-1.9704433497536873E-2</v>
          </cell>
          <cell r="R165">
            <v>-2.3722627737226276E-3</v>
          </cell>
          <cell r="V165">
            <v>4.0892193308551296E-3</v>
          </cell>
          <cell r="Y165">
            <v>0.11661466458658343</v>
          </cell>
        </row>
        <row r="166">
          <cell r="C166">
            <v>-3.312013369881843E-2</v>
          </cell>
          <cell r="F166">
            <v>-1.3392003061029325E-3</v>
          </cell>
          <cell r="J166">
            <v>9.2907092907092911E-2</v>
          </cell>
          <cell r="N166">
            <v>-4.5265937382120442E-3</v>
          </cell>
          <cell r="R166">
            <v>4.4406327425195347E-2</v>
          </cell>
          <cell r="V166">
            <v>5.4075235109717831E-2</v>
          </cell>
          <cell r="Y166">
            <v>4.8242027800490549E-2</v>
          </cell>
        </row>
        <row r="167">
          <cell r="C167">
            <v>1.9430770251442925E-2</v>
          </cell>
          <cell r="F167">
            <v>-1.718869365928119E-3</v>
          </cell>
          <cell r="J167">
            <v>-5.8325493885230478E-2</v>
          </cell>
          <cell r="N167">
            <v>1.4431749849669322E-2</v>
          </cell>
          <cell r="R167">
            <v>-7.4113287453679191E-2</v>
          </cell>
          <cell r="V167">
            <v>2.7788964961739885E-2</v>
          </cell>
          <cell r="Y167">
            <v>-0.10632078918523928</v>
          </cell>
        </row>
        <row r="168">
          <cell r="C168">
            <v>-1.4754175512722591E-2</v>
          </cell>
          <cell r="F168">
            <v>2.2970903522204714E-3</v>
          </cell>
          <cell r="J168">
            <v>7.1032745591939547E-2</v>
          </cell>
          <cell r="N168">
            <v>-2.6170873998145982E-3</v>
          </cell>
          <cell r="R168">
            <v>2.9801926222060696E-2</v>
          </cell>
          <cell r="V168">
            <v>1.0170870626525632E-2</v>
          </cell>
          <cell r="Y168">
            <v>1.3703703703703675E-2</v>
          </cell>
        </row>
        <row r="169">
          <cell r="C169">
            <v>1.826643273421413E-2</v>
          </cell>
          <cell r="F169">
            <v>7.6669414674361058E-2</v>
          </cell>
          <cell r="J169">
            <v>2.53099173553719E-2</v>
          </cell>
          <cell r="N169">
            <v>-3.1165812688183404E-2</v>
          </cell>
          <cell r="R169">
            <v>4.5998859532408287E-2</v>
          </cell>
          <cell r="V169">
            <v>-6.6464109380934305E-2</v>
          </cell>
          <cell r="Y169">
            <v>6.341079165025601E-2</v>
          </cell>
        </row>
        <row r="170">
          <cell r="C170">
            <v>1.4315187979670926E-2</v>
          </cell>
          <cell r="F170">
            <v>6.0128550694589734E-3</v>
          </cell>
          <cell r="J170">
            <v>7.3170731707317069E-2</v>
          </cell>
          <cell r="N170">
            <v>7.0216500877705286E-3</v>
          </cell>
          <cell r="R170">
            <v>4.0957657301147608E-2</v>
          </cell>
          <cell r="V170">
            <v>2.0147229755908547E-2</v>
          </cell>
          <cell r="Y170">
            <v>8.3399523431296075E-3</v>
          </cell>
        </row>
        <row r="171">
          <cell r="C171">
            <v>-1.7118625333947743E-3</v>
          </cell>
          <cell r="F171">
            <v>-1.7718940936863634E-2</v>
          </cell>
          <cell r="J171">
            <v>3.0857142857142857E-2</v>
          </cell>
          <cell r="N171">
            <v>-3.0757808771278328E-3</v>
          </cell>
          <cell r="R171">
            <v>3.5655737704918034E-2</v>
          </cell>
          <cell r="V171">
            <v>-5.3949903660886539E-3</v>
          </cell>
          <cell r="Y171">
            <v>-6.7407407407407541E-2</v>
          </cell>
        </row>
        <row r="172">
          <cell r="C172">
            <v>1.2542787419543223E-2</v>
          </cell>
          <cell r="F172">
            <v>5.4326819841099445E-2</v>
          </cell>
          <cell r="J172">
            <v>3.1231585150265175E-2</v>
          </cell>
          <cell r="N172">
            <v>2.4948363952603594E-2</v>
          </cell>
          <cell r="R172">
            <v>5.127100387763895E-2</v>
          </cell>
          <cell r="V172">
            <v>7.9900124843944986E-2</v>
          </cell>
          <cell r="Y172">
            <v>4.206869934388266E-2</v>
          </cell>
        </row>
        <row r="173">
          <cell r="C173">
            <v>-9.6401306256622809E-3</v>
          </cell>
          <cell r="F173">
            <v>6.7012537829658943E-3</v>
          </cell>
          <cell r="J173">
            <v>1.7386091127098321E-2</v>
          </cell>
          <cell r="N173">
            <v>2.1242987090799408E-3</v>
          </cell>
          <cell r="R173">
            <v>-2.1496130696474634E-3</v>
          </cell>
          <cell r="V173">
            <v>-7.0247933884296761E-3</v>
          </cell>
          <cell r="Y173">
            <v>6.2135922330097135E-3</v>
          </cell>
        </row>
        <row r="174">
          <cell r="C174">
            <v>1.6702626190443465E-2</v>
          </cell>
          <cell r="F174">
            <v>1.6033384581594486E-2</v>
          </cell>
          <cell r="J174">
            <v>-1.9976498237367801E-2</v>
          </cell>
          <cell r="N174">
            <v>3.0304730905213535E-2</v>
          </cell>
          <cell r="R174">
            <v>-2.4124187119781832E-2</v>
          </cell>
          <cell r="V174">
            <v>7.3170731707317013E-2</v>
          </cell>
          <cell r="Y174">
            <v>-9.4266619767850793E-2</v>
          </cell>
        </row>
        <row r="175">
          <cell r="C175">
            <v>2.2715134615492714E-2</v>
          </cell>
          <cell r="F175">
            <v>8.0189798339264595E-2</v>
          </cell>
          <cell r="J175">
            <v>5.3160070880094506E-3</v>
          </cell>
          <cell r="N175">
            <v>-4.8435330556445486E-2</v>
          </cell>
          <cell r="R175">
            <v>9.1024555461473328E-3</v>
          </cell>
          <cell r="V175">
            <v>-7.3921971252566762E-2</v>
          </cell>
          <cell r="Y175">
            <v>7.2830188679245303E-2</v>
          </cell>
        </row>
        <row r="176">
          <cell r="C176">
            <v>-7.7012119437122927E-3</v>
          </cell>
          <cell r="F176">
            <v>5.0336406678295434E-2</v>
          </cell>
          <cell r="J176">
            <v>3.1059683313032885E-2</v>
          </cell>
          <cell r="N176">
            <v>-6.9470223259267836E-3</v>
          </cell>
          <cell r="R176">
            <v>3.4603591765221202E-2</v>
          </cell>
          <cell r="V176">
            <v>-1.6558966074313414E-2</v>
          </cell>
          <cell r="Y176">
            <v>-0.11519198664440741</v>
          </cell>
        </row>
        <row r="177">
          <cell r="C177">
            <v>2.1573242454636647E-2</v>
          </cell>
          <cell r="F177">
            <v>8.0506192784060362E-2</v>
          </cell>
          <cell r="J177">
            <v>9.2194222495390298E-3</v>
          </cell>
          <cell r="N177">
            <v>-3.3123109265241202E-2</v>
          </cell>
          <cell r="R177">
            <v>3.9144287664997723E-2</v>
          </cell>
          <cell r="V177">
            <v>-3.4697855750487214E-2</v>
          </cell>
          <cell r="Y177">
            <v>3.7049861495844945E-2</v>
          </cell>
        </row>
        <row r="178">
          <cell r="C178">
            <v>7.3236369863851555E-2</v>
          </cell>
          <cell r="F178">
            <v>3.7720033528918735E-2</v>
          </cell>
          <cell r="J178">
            <v>2.0702634880803011E-2</v>
          </cell>
          <cell r="N178">
            <v>3.8830297219558892E-2</v>
          </cell>
          <cell r="R178">
            <v>3.9753904401325132E-2</v>
          </cell>
          <cell r="V178">
            <v>8.5944115156646808E-2</v>
          </cell>
          <cell r="Y178">
            <v>-0.13893858079904597</v>
          </cell>
        </row>
        <row r="179">
          <cell r="C179">
            <v>-5.639480693370727E-2</v>
          </cell>
          <cell r="F179">
            <v>-0.10188205771643669</v>
          </cell>
          <cell r="J179">
            <v>-4.9493142516398331E-2</v>
          </cell>
          <cell r="N179">
            <v>-1.2933753943217618E-2</v>
          </cell>
          <cell r="R179">
            <v>-2.5144175317185699E-2</v>
          </cell>
          <cell r="V179">
            <v>-4.1006902151847262E-2</v>
          </cell>
          <cell r="Y179">
            <v>0.12891282396499495</v>
          </cell>
        </row>
        <row r="180">
          <cell r="C180">
            <v>-5.2873147502303722E-3</v>
          </cell>
          <cell r="F180">
            <v>-2.5195694716242688E-2</v>
          </cell>
          <cell r="J180">
            <v>4.2910447761194029E-2</v>
          </cell>
          <cell r="N180">
            <v>6.3131313131315522E-4</v>
          </cell>
          <cell r="R180">
            <v>3.214285714285714E-2</v>
          </cell>
          <cell r="V180">
            <v>1.0668855149774231E-2</v>
          </cell>
          <cell r="Y180">
            <v>7.1402812838081475E-2</v>
          </cell>
        </row>
        <row r="181">
          <cell r="C181">
            <v>1.9182431538563513E-3</v>
          </cell>
          <cell r="F181">
            <v>6.8965517241379587E-3</v>
          </cell>
          <cell r="J181">
            <v>1.7721518987341773E-2</v>
          </cell>
          <cell r="N181">
            <v>-9.7421203438395644E-3</v>
          </cell>
          <cell r="R181">
            <v>-1.4547160957297044E-2</v>
          </cell>
          <cell r="V181">
            <v>-2.7921818907060202E-2</v>
          </cell>
          <cell r="Y181">
            <v>1.1674571324334195E-2</v>
          </cell>
        </row>
        <row r="182">
          <cell r="C182">
            <v>3.8442011456149408E-2</v>
          </cell>
          <cell r="F182">
            <v>9.5816464237516996E-2</v>
          </cell>
          <cell r="J182">
            <v>4.0157998683344305E-2</v>
          </cell>
          <cell r="N182">
            <v>1.0156825597305522E-2</v>
          </cell>
          <cell r="R182">
            <v>4.3840313494979181E-2</v>
          </cell>
          <cell r="V182">
            <v>4.5890696704213661E-2</v>
          </cell>
          <cell r="Y182">
            <v>0.12428219852337978</v>
          </cell>
        </row>
        <row r="183">
          <cell r="C183">
            <v>1.51464622884619E-2</v>
          </cell>
          <cell r="F183">
            <v>-7.9503105590062184E-2</v>
          </cell>
          <cell r="J183">
            <v>3.969883641341547E-2</v>
          </cell>
          <cell r="N183">
            <v>2.2877752058997686E-2</v>
          </cell>
          <cell r="R183">
            <v>1.8204488778054861E-2</v>
          </cell>
          <cell r="V183">
            <v>4.1268462206776685E-2</v>
          </cell>
          <cell r="Y183">
            <v>0.13978494623655932</v>
          </cell>
        </row>
        <row r="184">
          <cell r="C184">
            <v>-6.3293236570897658E-3</v>
          </cell>
          <cell r="F184">
            <v>-2.0919484310386753E-2</v>
          </cell>
          <cell r="J184">
            <v>-3.5006605019815062E-2</v>
          </cell>
          <cell r="N184">
            <v>-4.8358178372009564E-2</v>
          </cell>
          <cell r="R184">
            <v>-3.9290848107331099E-2</v>
          </cell>
          <cell r="V184">
            <v>-0.1483536810950796</v>
          </cell>
          <cell r="Y184">
            <v>4.4433593749999875E-2</v>
          </cell>
        </row>
        <row r="185">
          <cell r="C185">
            <v>-6.4352568266102363E-3</v>
          </cell>
          <cell r="F185">
            <v>0.10125904098580234</v>
          </cell>
          <cell r="J185">
            <v>3.6986301369863014E-2</v>
          </cell>
          <cell r="N185">
            <v>7.3795025286407037E-3</v>
          </cell>
          <cell r="R185">
            <v>3.7792143212332173E-2</v>
          </cell>
          <cell r="V185">
            <v>1.0845175766641837E-2</v>
          </cell>
          <cell r="Y185">
            <v>-9.7399735566328804E-2</v>
          </cell>
        </row>
        <row r="186">
          <cell r="C186">
            <v>-2.5092210005369257E-2</v>
          </cell>
          <cell r="F186">
            <v>-6.135277847623849E-2</v>
          </cell>
          <cell r="J186">
            <v>5.1115910727141826E-2</v>
          </cell>
          <cell r="N186">
            <v>7.2249077394874279E-3</v>
          </cell>
          <cell r="R186">
            <v>3.7132542547705004E-2</v>
          </cell>
          <cell r="V186">
            <v>6.0195635816403369E-3</v>
          </cell>
          <cell r="Y186">
            <v>-0.12326120556414218</v>
          </cell>
        </row>
        <row r="187">
          <cell r="C187">
            <v>-2.310426709159899E-2</v>
          </cell>
          <cell r="F187">
            <v>-7.447056085641135E-2</v>
          </cell>
          <cell r="J187">
            <v>3.6127167630057803E-3</v>
          </cell>
          <cell r="N187">
            <v>-2.0716685330347054E-2</v>
          </cell>
          <cell r="R187">
            <v>1.9989479221462388E-2</v>
          </cell>
          <cell r="V187">
            <v>-3.7305324157913843E-2</v>
          </cell>
          <cell r="Y187">
            <v>-2.5969138125705664E-2</v>
          </cell>
        </row>
        <row r="188">
          <cell r="C188">
            <v>3.2630196988072499E-2</v>
          </cell>
          <cell r="F188">
            <v>1.4879546528105702E-2</v>
          </cell>
          <cell r="J188">
            <v>5.8103975535168197E-2</v>
          </cell>
          <cell r="N188">
            <v>1.5507081567249045E-2</v>
          </cell>
          <cell r="R188">
            <v>5.5231751318345824E-2</v>
          </cell>
          <cell r="V188">
            <v>3.3695245226506874E-2</v>
          </cell>
          <cell r="Y188">
            <v>8.5375816993464082E-2</v>
          </cell>
        </row>
        <row r="189">
          <cell r="C189">
            <v>7.2075544420890187E-3</v>
          </cell>
          <cell r="F189">
            <v>7.8552725541539015E-3</v>
          </cell>
          <cell r="J189">
            <v>7.7041602465331279E-3</v>
          </cell>
          <cell r="N189">
            <v>-1.2390294269489369E-3</v>
          </cell>
          <cell r="R189">
            <v>-3.0437188710570003E-3</v>
          </cell>
          <cell r="V189">
            <v>2.4549290372075205E-2</v>
          </cell>
          <cell r="Y189">
            <v>3.9049235993208864E-2</v>
          </cell>
        </row>
        <row r="190">
          <cell r="C190">
            <v>6.4363467093169497E-3</v>
          </cell>
          <cell r="F190">
            <v>1.9165453663270236E-2</v>
          </cell>
          <cell r="J190">
            <v>5.4427294882209584E-2</v>
          </cell>
          <cell r="N190">
            <v>-3.6366349932839118E-2</v>
          </cell>
          <cell r="R190">
            <v>3.8207411663315143E-2</v>
          </cell>
          <cell r="V190">
            <v>-5.3033054849255384E-2</v>
          </cell>
          <cell r="Y190">
            <v>5.2725647899910584E-2</v>
          </cell>
        </row>
        <row r="191">
          <cell r="C191">
            <v>2.4505368191934357E-2</v>
          </cell>
          <cell r="F191">
            <v>2.3590762354109653E-2</v>
          </cell>
          <cell r="J191">
            <v>-2.6107594936708861E-2</v>
          </cell>
          <cell r="N191">
            <v>2.4098227022620725E-2</v>
          </cell>
          <cell r="R191">
            <v>-3.0362116991643453E-2</v>
          </cell>
          <cell r="V191">
            <v>0.13807358412567175</v>
          </cell>
          <cell r="Y191">
            <v>0.24402445803224018</v>
          </cell>
        </row>
        <row r="192">
          <cell r="C192">
            <v>1.7256338571290782E-2</v>
          </cell>
          <cell r="F192">
            <v>-2.4703317994671736E-2</v>
          </cell>
          <cell r="J192">
            <v>-3.1417624521072794E-2</v>
          </cell>
          <cell r="N192">
            <v>3.4522742845095662E-2</v>
          </cell>
          <cell r="R192">
            <v>-8.0132633324122692E-3</v>
          </cell>
          <cell r="V192">
            <v>6.0499780797895773E-2</v>
          </cell>
          <cell r="Y192">
            <v>-4.9778761061947561E-3</v>
          </cell>
        </row>
        <row r="193">
          <cell r="C193">
            <v>-2.8219416819392348E-3</v>
          </cell>
          <cell r="F193">
            <v>1.7245627001724457E-2</v>
          </cell>
          <cell r="J193">
            <v>-2.0270270270270271E-2</v>
          </cell>
          <cell r="N193">
            <v>4.9217497096720679E-2</v>
          </cell>
          <cell r="R193">
            <v>7.5167037861915368E-3</v>
          </cell>
          <cell r="V193">
            <v>0.15904471544715443</v>
          </cell>
          <cell r="Y193">
            <v>5.2386495925494811E-2</v>
          </cell>
        </row>
        <row r="194">
          <cell r="C194">
            <v>1.2461381960666131E-2</v>
          </cell>
          <cell r="F194">
            <v>9.8643649815058593E-4</v>
          </cell>
          <cell r="J194">
            <v>-2.2026431718061675E-2</v>
          </cell>
          <cell r="N194">
            <v>5.6167278389500103E-3</v>
          </cell>
          <cell r="R194">
            <v>7.2910824453168814E-3</v>
          </cell>
          <cell r="V194">
            <v>3.6880927291886155E-2</v>
          </cell>
          <cell r="Y194">
            <v>-4.8199445983379482E-2</v>
          </cell>
        </row>
        <row r="195">
          <cell r="C195">
            <v>1.7581413477912127E-2</v>
          </cell>
          <cell r="F195">
            <v>-2.4600246002460377E-3</v>
          </cell>
          <cell r="J195">
            <v>-5.8394160583941602E-3</v>
          </cell>
          <cell r="N195">
            <v>7.9596412556054066E-3</v>
          </cell>
          <cell r="R195">
            <v>-1.1204481792717086E-3</v>
          </cell>
          <cell r="V195">
            <v>4.0570175438596603E-2</v>
          </cell>
          <cell r="Y195">
            <v>4.0945790080738148E-2</v>
          </cell>
        </row>
        <row r="196">
          <cell r="C196">
            <v>4.0198733819644082E-2</v>
          </cell>
          <cell r="F196">
            <v>5.6118472330475358E-2</v>
          </cell>
          <cell r="J196">
            <v>8.0441640378548895E-2</v>
          </cell>
          <cell r="N196">
            <v>6.4880112834978841E-3</v>
          </cell>
          <cell r="R196">
            <v>3.1791907514450865E-2</v>
          </cell>
          <cell r="V196">
            <v>1.2208657047724688E-2</v>
          </cell>
          <cell r="Y196">
            <v>0.15986622073578585</v>
          </cell>
        </row>
        <row r="197">
          <cell r="C197">
            <v>-2.863055001388096E-2</v>
          </cell>
          <cell r="F197">
            <v>-3.1698113207547118E-2</v>
          </cell>
          <cell r="J197">
            <v>-4.6616541353383459E-2</v>
          </cell>
          <cell r="N197">
            <v>1.5235695056990611E-2</v>
          </cell>
          <cell r="R197">
            <v>-1.3120365088419851E-2</v>
          </cell>
          <cell r="V197">
            <v>1.0656197420078593E-2</v>
          </cell>
          <cell r="Y197">
            <v>-0.10425404433792686</v>
          </cell>
        </row>
        <row r="198">
          <cell r="C198">
            <v>1.855450447340121E-2</v>
          </cell>
          <cell r="F198">
            <v>9.6249310535024876E-2</v>
          </cell>
          <cell r="J198">
            <v>7.575757575757576E-3</v>
          </cell>
          <cell r="N198">
            <v>9.599259816110645E-3</v>
          </cell>
          <cell r="R198">
            <v>6.0258249641319947E-3</v>
          </cell>
          <cell r="V198">
            <v>2.1191294387170528E-2</v>
          </cell>
          <cell r="Y198">
            <v>-3.5817446562680565E-2</v>
          </cell>
        </row>
        <row r="199">
          <cell r="C199">
            <v>-4.7784391016709789E-2</v>
          </cell>
          <cell r="F199">
            <v>-8.3185840707964587E-2</v>
          </cell>
          <cell r="J199">
            <v>-3.7735849056603774E-3</v>
          </cell>
          <cell r="N199">
            <v>3.1678797279560855E-2</v>
          </cell>
          <cell r="R199">
            <v>4.0334197637568424E-3</v>
          </cell>
          <cell r="V199">
            <v>1.1467889908256636E-3</v>
          </cell>
          <cell r="Y199">
            <v>-2.8619528619528583E-2</v>
          </cell>
        </row>
        <row r="200">
          <cell r="C200">
            <v>4.9147425853477436E-2</v>
          </cell>
          <cell r="F200">
            <v>0.11439842209072965</v>
          </cell>
          <cell r="J200">
            <v>1.6884113584036839E-2</v>
          </cell>
          <cell r="N200">
            <v>-3.4947319937820277E-2</v>
          </cell>
          <cell r="R200">
            <v>3.2114183764495985E-2</v>
          </cell>
          <cell r="V200">
            <v>-5.4229934924078085E-2</v>
          </cell>
          <cell r="Y200">
            <v>-3.623580313683069E-2</v>
          </cell>
        </row>
        <row r="201">
          <cell r="C201">
            <v>3.0066487336953808E-2</v>
          </cell>
          <cell r="F201">
            <v>6.7368421052631633E-2</v>
          </cell>
          <cell r="J201">
            <v>2.4371069182389939E-2</v>
          </cell>
          <cell r="N201">
            <v>1.3259541104578474E-3</v>
          </cell>
          <cell r="R201">
            <v>9.0009000900090012E-3</v>
          </cell>
          <cell r="V201">
            <v>4.4167610419026108E-2</v>
          </cell>
          <cell r="Y201">
            <v>6.8168688619295134E-2</v>
          </cell>
        </row>
        <row r="202">
          <cell r="C202">
            <v>3.203897056255893E-2</v>
          </cell>
          <cell r="F202">
            <v>0.12979952429493716</v>
          </cell>
          <cell r="J202">
            <v>-3.9154267815191858E-3</v>
          </cell>
          <cell r="N202">
            <v>-1.0722025778487613E-2</v>
          </cell>
          <cell r="R202">
            <v>-6.2611806797853312E-3</v>
          </cell>
          <cell r="V202">
            <v>3.5777126099706708E-2</v>
          </cell>
          <cell r="Y202">
            <v>5.1640340218712145E-2</v>
          </cell>
        </row>
        <row r="203">
          <cell r="C203">
            <v>-2.2561266980681397E-2</v>
          </cell>
          <cell r="F203">
            <v>0.18957154405820539</v>
          </cell>
          <cell r="J203">
            <v>7.836990595611285E-4</v>
          </cell>
          <cell r="N203">
            <v>2.5440084215451193E-2</v>
          </cell>
          <cell r="R203">
            <v>-1.207658321060383E-2</v>
          </cell>
          <cell r="V203">
            <v>8.3227445997458738E-2</v>
          </cell>
          <cell r="Y203">
            <v>-9.7092704333516217E-2</v>
          </cell>
        </row>
        <row r="204">
          <cell r="C204">
            <v>3.5005352014159045E-2</v>
          </cell>
          <cell r="F204">
            <v>0.25075834175935274</v>
          </cell>
          <cell r="J204">
            <v>2.4077046548956663E-2</v>
          </cell>
          <cell r="N204">
            <v>9.0882266155208561E-3</v>
          </cell>
          <cell r="R204">
            <v>1.7704337562702863E-3</v>
          </cell>
          <cell r="V204">
            <v>5.9219380888290769E-2</v>
          </cell>
          <cell r="Y204">
            <v>-3.5449735449735426E-2</v>
          </cell>
        </row>
        <row r="205">
          <cell r="C205">
            <v>-2.125679477146212E-3</v>
          </cell>
          <cell r="F205">
            <v>0.16765053128689492</v>
          </cell>
          <cell r="J205">
            <v>-1.3460015835312747E-2</v>
          </cell>
          <cell r="N205">
            <v>-1.6826225703510299E-2</v>
          </cell>
          <cell r="R205">
            <v>1.8023430459597478E-2</v>
          </cell>
          <cell r="V205">
            <v>-2.5573770491803316E-2</v>
          </cell>
          <cell r="Y205">
            <v>8.2474226804123654E-2</v>
          </cell>
        </row>
        <row r="206">
          <cell r="C206">
            <v>-1.3156796170544419E-2</v>
          </cell>
          <cell r="F206">
            <v>-7.279693486590029E-2</v>
          </cell>
          <cell r="J206">
            <v>-2.0170674941815361E-2</v>
          </cell>
          <cell r="N206">
            <v>2.0305470044991683E-2</v>
          </cell>
          <cell r="R206">
            <v>-3.0030030030030029E-4</v>
          </cell>
          <cell r="V206">
            <v>6.5616797900261068E-4</v>
          </cell>
          <cell r="Y206">
            <v>-3.9931545921277215E-3</v>
          </cell>
        </row>
        <row r="207">
          <cell r="C207">
            <v>3.0374719515954354E-2</v>
          </cell>
          <cell r="F207">
            <v>-0.19727592267135333</v>
          </cell>
          <cell r="J207">
            <v>-2.8636021100226075E-2</v>
          </cell>
          <cell r="N207">
            <v>-2.707061398456399E-2</v>
          </cell>
          <cell r="R207">
            <v>-3.5900405327156923E-2</v>
          </cell>
          <cell r="V207">
            <v>-4.6904315196998121E-2</v>
          </cell>
          <cell r="Y207">
            <v>1.1540680900172991E-2</v>
          </cell>
        </row>
        <row r="208">
          <cell r="C208">
            <v>0.12101741908263519</v>
          </cell>
          <cell r="F208">
            <v>-0.19689484827099499</v>
          </cell>
          <cell r="J208">
            <v>3.0234315948601664E-3</v>
          </cell>
          <cell r="N208">
            <v>6.2741017322641854E-2</v>
          </cell>
          <cell r="R208">
            <v>1.0828211881767632E-2</v>
          </cell>
          <cell r="V208">
            <v>0.10734072022160671</v>
          </cell>
          <cell r="Y208">
            <v>6.9093152375077169E-2</v>
          </cell>
        </row>
        <row r="209">
          <cell r="C209">
            <v>-2.0783247490625392E-2</v>
          </cell>
          <cell r="F209">
            <v>0.3175267317526731</v>
          </cell>
          <cell r="J209">
            <v>-4.4075144508670519E-2</v>
          </cell>
          <cell r="N209">
            <v>6.0348543629533558E-3</v>
          </cell>
          <cell r="R209">
            <v>-3.0913216108905274E-2</v>
          </cell>
          <cell r="V209">
            <v>-4.1379310344827926E-3</v>
          </cell>
          <cell r="Y209">
            <v>-7.9559363525091194E-3</v>
          </cell>
        </row>
        <row r="210">
          <cell r="C210">
            <v>0.10262829078666492</v>
          </cell>
          <cell r="F210">
            <v>-4.1016495764600897E-2</v>
          </cell>
          <cell r="J210">
            <v>6.5454545454545453E-3</v>
          </cell>
          <cell r="N210">
            <v>9.4272237196765557E-2</v>
          </cell>
          <cell r="R210">
            <v>2.2028985507246378E-2</v>
          </cell>
          <cell r="V210">
            <v>0.17408906882591096</v>
          </cell>
          <cell r="Y210">
            <v>1.8703241895261721E-2</v>
          </cell>
        </row>
        <row r="211">
          <cell r="C211">
            <v>-0.14979601773502221</v>
          </cell>
          <cell r="F211">
            <v>-0.29309801449732115</v>
          </cell>
          <cell r="J211">
            <v>-7.2825354012137564E-2</v>
          </cell>
          <cell r="N211">
            <v>-2.0914428976710461E-2</v>
          </cell>
          <cell r="R211">
            <v>1.8600531443755536E-2</v>
          </cell>
          <cell r="V211">
            <v>-0.14591977869986175</v>
          </cell>
          <cell r="Y211">
            <v>-0.1417870518994114</v>
          </cell>
        </row>
        <row r="212">
          <cell r="C212">
            <v>-8.792646945030394E-2</v>
          </cell>
          <cell r="F212">
            <v>-0.23134689922480622</v>
          </cell>
          <cell r="J212">
            <v>-1.7229953611663355E-2</v>
          </cell>
          <cell r="N212">
            <v>-9.2829782140292028E-2</v>
          </cell>
          <cell r="R212">
            <v>-4.1324653269176337E-2</v>
          </cell>
          <cell r="V212">
            <v>-0.1597908192911098</v>
          </cell>
          <cell r="Y212">
            <v>9.4262295081967235E-2</v>
          </cell>
        </row>
        <row r="213">
          <cell r="C213">
            <v>6.1437536811747573E-3</v>
          </cell>
          <cell r="F213">
            <v>-7.7747989276139337E-2</v>
          </cell>
          <cell r="J213">
            <v>2.9331514324693043E-2</v>
          </cell>
          <cell r="N213">
            <v>6.8218144619909243E-2</v>
          </cell>
          <cell r="R213">
            <v>-2.8296547821165819E-4</v>
          </cell>
          <cell r="V213">
            <v>5.0030506406345349E-2</v>
          </cell>
          <cell r="Y213">
            <v>1.4251781472684098E-2</v>
          </cell>
        </row>
        <row r="214">
          <cell r="C214">
            <v>-0.11490674855816049</v>
          </cell>
          <cell r="F214">
            <v>-0.16148370176095925</v>
          </cell>
          <cell r="J214">
            <v>-2.7851458885941646E-2</v>
          </cell>
          <cell r="N214">
            <v>-4.894807247963031E-2</v>
          </cell>
          <cell r="R214">
            <v>-7.860752386299831E-3</v>
          </cell>
          <cell r="V214">
            <v>-0.11501079913606907</v>
          </cell>
          <cell r="Y214">
            <v>-0.11601049868766408</v>
          </cell>
        </row>
        <row r="215">
          <cell r="C215">
            <v>-1.2546743349427203E-2</v>
          </cell>
          <cell r="F215">
            <v>2.5552353506244102E-2</v>
          </cell>
          <cell r="J215">
            <v>-1.9854401058901389E-3</v>
          </cell>
          <cell r="N215">
            <v>3.911038099450298E-2</v>
          </cell>
          <cell r="R215">
            <v>-3.6363636363636364E-3</v>
          </cell>
          <cell r="V215">
            <v>4.5146726862302526E-2</v>
          </cell>
          <cell r="Y215">
            <v>3.7016875340228669E-2</v>
          </cell>
        </row>
        <row r="216">
          <cell r="C216">
            <v>1.5761589801995914E-2</v>
          </cell>
          <cell r="F216">
            <v>3.4379968203497556E-2</v>
          </cell>
          <cell r="J216">
            <v>-1.4993481095176011E-2</v>
          </cell>
          <cell r="N216">
            <v>8.9889073058779401E-3</v>
          </cell>
          <cell r="R216">
            <v>1.3321995464852607E-2</v>
          </cell>
          <cell r="V216">
            <v>2.8296547821164207E-3</v>
          </cell>
          <cell r="Y216">
            <v>-1.1302475780409112E-2</v>
          </cell>
        </row>
        <row r="217">
          <cell r="C217">
            <v>3.1681713336144265E-2</v>
          </cell>
          <cell r="F217">
            <v>-2.4049650892164508E-2</v>
          </cell>
          <cell r="J217">
            <v>5.9016393442622951E-3</v>
          </cell>
          <cell r="N217">
            <v>-9.0340514246005314E-3</v>
          </cell>
          <cell r="R217">
            <v>1.0888252148997135E-2</v>
          </cell>
          <cell r="V217">
            <v>-1.6694490818029893E-2</v>
          </cell>
          <cell r="Y217">
            <v>9.2341118957089234E-3</v>
          </cell>
        </row>
        <row r="218">
          <cell r="C218">
            <v>-2.1226107353427531E-2</v>
          </cell>
          <cell r="F218">
            <v>-4.8532939656763162E-2</v>
          </cell>
          <cell r="J218">
            <v>-1.5493867010974823E-2</v>
          </cell>
          <cell r="N218">
            <v>7.5106613200943174E-3</v>
          </cell>
          <cell r="R218">
            <v>-3.2705099778270512E-2</v>
          </cell>
          <cell r="V218">
            <v>-4.9833887043189296E-3</v>
          </cell>
          <cell r="Y218">
            <v>-2.7469624933967273E-2</v>
          </cell>
        </row>
        <row r="219">
          <cell r="C219">
            <v>-1.0256425658183244E-2</v>
          </cell>
          <cell r="F219">
            <v>-7.4308165357020867E-2</v>
          </cell>
          <cell r="J219">
            <v>-5.1380860629415539E-3</v>
          </cell>
          <cell r="N219">
            <v>7.8906851424172149E-3</v>
          </cell>
          <cell r="R219">
            <v>-2.9846732992739985E-2</v>
          </cell>
          <cell r="V219">
            <v>2.7762354247638618E-3</v>
          </cell>
          <cell r="Y219">
            <v>-5.4917623564653066E-2</v>
          </cell>
        </row>
        <row r="220">
          <cell r="C220">
            <v>1.9682423017440699E-2</v>
          </cell>
          <cell r="F220">
            <v>-8.4688346883468844E-3</v>
          </cell>
          <cell r="J220">
            <v>9.0732339598185354E-3</v>
          </cell>
          <cell r="N220">
            <v>8.346709470304684E-4</v>
          </cell>
          <cell r="R220">
            <v>-5.6149732620320858E-3</v>
          </cell>
          <cell r="V220">
            <v>-1.1092623405435148E-3</v>
          </cell>
          <cell r="Y220">
            <v>-9.0372388737511286E-2</v>
          </cell>
        </row>
        <row r="221">
          <cell r="C221">
            <v>9.4285670123807914E-3</v>
          </cell>
          <cell r="F221">
            <v>-6.36003172085646E-2</v>
          </cell>
          <cell r="J221">
            <v>-1.9404915912031048E-3</v>
          </cell>
          <cell r="N221">
            <v>5.3576039246062187E-3</v>
          </cell>
          <cell r="R221">
            <v>4.8361096184846852E-3</v>
          </cell>
          <cell r="V221">
            <v>-2.2136137244050439E-3</v>
          </cell>
          <cell r="Y221">
            <v>3.3802816901408482E-2</v>
          </cell>
        </row>
        <row r="222">
          <cell r="C222">
            <v>-1.5956691625360561E-3</v>
          </cell>
          <cell r="F222">
            <v>2.1548930654568994E-2</v>
          </cell>
          <cell r="J222">
            <v>-8.9743589743589737E-3</v>
          </cell>
          <cell r="N222">
            <v>2.3384859294490745E-2</v>
          </cell>
          <cell r="R222">
            <v>1.0758472296933835E-3</v>
          </cell>
          <cell r="V222">
            <v>1.2324929971988731E-2</v>
          </cell>
          <cell r="Y222">
            <v>-1.2974976830398529E-2</v>
          </cell>
        </row>
        <row r="223">
          <cell r="C223">
            <v>5.8362980485655068E-3</v>
          </cell>
          <cell r="F223">
            <v>2.1178027796161503E-2</v>
          </cell>
          <cell r="J223">
            <v>5.8027079303675051E-3</v>
          </cell>
          <cell r="N223">
            <v>2.6513867227232594E-2</v>
          </cell>
          <cell r="R223">
            <v>1.3466199838405601E-3</v>
          </cell>
          <cell r="V223">
            <v>4.2031523642732195E-2</v>
          </cell>
          <cell r="Y223">
            <v>-7.3024054982817846E-2</v>
          </cell>
        </row>
        <row r="224">
          <cell r="C224">
            <v>1.6542539762686069E-2</v>
          </cell>
          <cell r="F224">
            <v>6.1594806059596706E-3</v>
          </cell>
          <cell r="J224">
            <v>5.8703071672354952E-2</v>
          </cell>
          <cell r="N224">
            <v>-6.0992138790991028E-4</v>
          </cell>
          <cell r="R224">
            <v>2.2865013774104683E-2</v>
          </cell>
          <cell r="V224">
            <v>1.3010053222944936E-2</v>
          </cell>
          <cell r="Y224">
            <v>1.3937282229965171E-2</v>
          </cell>
        </row>
        <row r="225">
          <cell r="C225">
            <v>7.2761140655645991E-3</v>
          </cell>
          <cell r="F225">
            <v>1.4695945945945902E-2</v>
          </cell>
          <cell r="J225">
            <v>-6.8212824010914052E-4</v>
          </cell>
          <cell r="N225">
            <v>1.1308340758001509E-2</v>
          </cell>
          <cell r="R225">
            <v>2.0236087689713321E-2</v>
          </cell>
          <cell r="V225">
            <v>2.6092233009708719E-2</v>
          </cell>
          <cell r="Y225">
            <v>-1.6281062553556234E-2</v>
          </cell>
        </row>
        <row r="226">
          <cell r="C226">
            <v>1.5695738272767849E-3</v>
          </cell>
          <cell r="F226">
            <v>7.3046945803878938E-2</v>
          </cell>
          <cell r="J226">
            <v>-1.2794612794612794E-2</v>
          </cell>
          <cell r="N226">
            <v>-4.4350436681222707E-3</v>
          </cell>
          <cell r="R226">
            <v>1.4542343883661249E-2</v>
          </cell>
          <cell r="V226">
            <v>-2.8874484384207335E-2</v>
          </cell>
          <cell r="Y226">
            <v>2.3235423060061346E-2</v>
          </cell>
        </row>
        <row r="227">
          <cell r="C227">
            <v>9.8672471055753826E-3</v>
          </cell>
          <cell r="F227">
            <v>-4.5006058507876083E-2</v>
          </cell>
          <cell r="J227">
            <v>6.7796610169491523E-3</v>
          </cell>
          <cell r="N227">
            <v>1.70870070398469E-3</v>
          </cell>
          <cell r="R227">
            <v>-2.25752508361204E-2</v>
          </cell>
          <cell r="V227">
            <v>-1.1771630370806107E-3</v>
          </cell>
          <cell r="Y227">
            <v>-0.14409005628517821</v>
          </cell>
        </row>
        <row r="228">
          <cell r="C228">
            <v>-3.2591348711408165E-3</v>
          </cell>
          <cell r="F228">
            <v>8.6625086625094017E-4</v>
          </cell>
          <cell r="J228">
            <v>-6.7340067340067337E-3</v>
          </cell>
          <cell r="N228">
            <v>-2.862400327131497E-3</v>
          </cell>
          <cell r="R228">
            <v>-2.3141845902531991E-2</v>
          </cell>
          <cell r="V228">
            <v>3.5440047253395583E-3</v>
          </cell>
          <cell r="Y228">
            <v>-8.5565476190476667E-3</v>
          </cell>
        </row>
        <row r="229">
          <cell r="C229">
            <v>8.8520180532026677E-3</v>
          </cell>
          <cell r="F229">
            <v>8.3857442348007835E-3</v>
          </cell>
          <cell r="J229">
            <v>-1.5904572564612324E-2</v>
          </cell>
          <cell r="N229">
            <v>4.1059330732909054E-3</v>
          </cell>
          <cell r="R229">
            <v>-1.3594344752582926E-3</v>
          </cell>
          <cell r="V229">
            <v>8.9392133492251832E-3</v>
          </cell>
          <cell r="Y229">
            <v>-3.6213696665471487E-2</v>
          </cell>
        </row>
        <row r="230">
          <cell r="C230">
            <v>8.5330185756999962E-3</v>
          </cell>
          <cell r="F230">
            <v>1.85053380782918E-2</v>
          </cell>
          <cell r="J230">
            <v>-3.0828516377649325E-2</v>
          </cell>
          <cell r="N230">
            <v>-3.0968169761273239E-2</v>
          </cell>
          <cell r="R230">
            <v>-5.1393021368677308E-3</v>
          </cell>
          <cell r="V230">
            <v>-6.7777777777777715E-2</v>
          </cell>
          <cell r="Y230">
            <v>2.7634487840825415E-2</v>
          </cell>
        </row>
        <row r="231">
          <cell r="C231">
            <v>1.4676349440042239E-2</v>
          </cell>
          <cell r="F231">
            <v>-8.1186021884926546E-3</v>
          </cell>
          <cell r="J231">
            <v>6.4641241111829343E-3</v>
          </cell>
          <cell r="N231">
            <v>5.6685561853951315E-3</v>
          </cell>
          <cell r="R231">
            <v>4.3466449334419992E-3</v>
          </cell>
          <cell r="V231">
            <v>7.838745800671924E-3</v>
          </cell>
          <cell r="Y231">
            <v>0.18000000000000008</v>
          </cell>
        </row>
        <row r="232">
          <cell r="C232">
            <v>1.2172660906838245E-2</v>
          </cell>
          <cell r="F232">
            <v>5.355150613610999E-2</v>
          </cell>
          <cell r="J232">
            <v>-1.0869565217391304E-2</v>
          </cell>
          <cell r="N232">
            <v>7.5930654481924167E-3</v>
          </cell>
          <cell r="R232">
            <v>-1.4721627408993576E-2</v>
          </cell>
          <cell r="V232">
            <v>2.0571428571428539E-2</v>
          </cell>
          <cell r="Y232">
            <v>-8.6206896551724223E-3</v>
          </cell>
        </row>
        <row r="233">
          <cell r="C233">
            <v>5.3631488046540672E-3</v>
          </cell>
          <cell r="F233">
            <v>-1.6819012797074984E-2</v>
          </cell>
          <cell r="J233">
            <v>-1.6970458830923948E-2</v>
          </cell>
          <cell r="N233">
            <v>3.7094489782154177E-3</v>
          </cell>
          <cell r="R233">
            <v>-2.136752136752137E-3</v>
          </cell>
          <cell r="V233">
            <v>2.2909507445589431E-3</v>
          </cell>
          <cell r="Y233">
            <v>4.7877145438120994E-2</v>
          </cell>
        </row>
        <row r="234">
          <cell r="C234">
            <v>6.185615902385074E-3</v>
          </cell>
          <cell r="F234">
            <v>3.578867638704792E-2</v>
          </cell>
          <cell r="J234">
            <v>3.378817413905133E-2</v>
          </cell>
          <cell r="N234">
            <v>-1.5602177665648653E-2</v>
          </cell>
          <cell r="R234">
            <v>2.1555252387448841E-2</v>
          </cell>
          <cell r="V234">
            <v>-4.5610034207524686E-3</v>
          </cell>
          <cell r="Y234">
            <v>-5.8673469387755063E-2</v>
          </cell>
        </row>
        <row r="235">
          <cell r="C235">
            <v>-3.3020572018947142E-3</v>
          </cell>
          <cell r="F235">
            <v>-5.544625290645671E-2</v>
          </cell>
          <cell r="J235">
            <v>3.5666218034993272E-2</v>
          </cell>
          <cell r="N235">
            <v>4.7361750383564383E-3</v>
          </cell>
          <cell r="R235">
            <v>3.7655719139297848E-2</v>
          </cell>
          <cell r="V235">
            <v>-5.6980056980065889E-4</v>
          </cell>
          <cell r="Y235">
            <v>-2.1630615640599021E-2</v>
          </cell>
        </row>
        <row r="236">
          <cell r="C236">
            <v>-1.0120084088941836E-2</v>
          </cell>
          <cell r="F236">
            <v>-3.7527973833706436E-2</v>
          </cell>
          <cell r="J236">
            <v>2.0229265003371545E-3</v>
          </cell>
          <cell r="N236">
            <v>-5.4401910701254198E-3</v>
          </cell>
          <cell r="R236">
            <v>2.8320589068252618E-4</v>
          </cell>
          <cell r="V236">
            <v>-1.0710259301014529E-2</v>
          </cell>
          <cell r="Y236">
            <v>-5.1302288871349605E-2</v>
          </cell>
        </row>
        <row r="237">
          <cell r="C237">
            <v>-5.0941181556099172E-3</v>
          </cell>
          <cell r="F237">
            <v>5.9070191431175971E-2</v>
          </cell>
          <cell r="J237">
            <v>4.2897327707454289E-2</v>
          </cell>
          <cell r="N237">
            <v>1.1000067073579626E-2</v>
          </cell>
          <cell r="R237">
            <v>-2.2605255721955355E-3</v>
          </cell>
          <cell r="V237">
            <v>1.7201834862385156E-2</v>
          </cell>
          <cell r="Y237">
            <v>-3.060443764345833E-2</v>
          </cell>
        </row>
        <row r="238">
          <cell r="C238">
            <v>9.628329041766347E-3</v>
          </cell>
          <cell r="F238">
            <v>-2.9547062986553459E-2</v>
          </cell>
          <cell r="J238">
            <v>3.7956204379562042E-2</v>
          </cell>
          <cell r="N238">
            <v>-1.0158013544018029E-2</v>
          </cell>
          <cell r="R238">
            <v>4.7041420118343197E-2</v>
          </cell>
          <cell r="V238">
            <v>-2.9493600445186289E-2</v>
          </cell>
          <cell r="Y238">
            <v>4.7275641025640976E-2</v>
          </cell>
        </row>
        <row r="239">
          <cell r="C239">
            <v>1.785433595538637E-2</v>
          </cell>
          <cell r="F239">
            <v>2.5771324863883879E-2</v>
          </cell>
          <cell r="J239">
            <v>-4.3296089385474863E-2</v>
          </cell>
          <cell r="N239">
            <v>-8.4918701862944264E-3</v>
          </cell>
          <cell r="R239">
            <v>-1.4002333722287048E-2</v>
          </cell>
          <cell r="V239">
            <v>-1.1551155115511599E-2</v>
          </cell>
          <cell r="Y239">
            <v>9.234135667396054E-2</v>
          </cell>
        </row>
        <row r="240">
          <cell r="C240">
            <v>2.7870366792993564E-2</v>
          </cell>
          <cell r="F240">
            <v>1.7168174266198998E-2</v>
          </cell>
          <cell r="J240">
            <v>-4.864489228630994E-3</v>
          </cell>
          <cell r="N240">
            <v>-4.9128782916284556E-3</v>
          </cell>
          <cell r="R240">
            <v>1.630595908686629E-2</v>
          </cell>
          <cell r="V240">
            <v>4.482758620689662E-2</v>
          </cell>
          <cell r="Y240">
            <v>6.1802973977695165E-2</v>
          </cell>
        </row>
        <row r="241">
          <cell r="C241">
            <v>-1.439065593973708E-2</v>
          </cell>
          <cell r="F241">
            <v>-1.2757426644796715E-2</v>
          </cell>
          <cell r="J241">
            <v>-3.0323450134770891E-2</v>
          </cell>
          <cell r="N241">
            <v>9.3223140495867166E-3</v>
          </cell>
          <cell r="R241">
            <v>-2.7673681176131448E-2</v>
          </cell>
          <cell r="V241">
            <v>1.754385964912264E-2</v>
          </cell>
          <cell r="Y241">
            <v>-2.1818181818181837E-2</v>
          </cell>
        </row>
        <row r="242">
          <cell r="C242">
            <v>-1.026844602812953E-2</v>
          </cell>
          <cell r="F242">
            <v>6.7889908256880266E-3</v>
          </cell>
          <cell r="J242">
            <v>-9.5673369896404625E-2</v>
          </cell>
          <cell r="N242">
            <v>1.0624081250835287E-2</v>
          </cell>
          <cell r="R242">
            <v>-7.4391988555078687E-3</v>
          </cell>
          <cell r="V242">
            <v>1.1834319526627389E-2</v>
          </cell>
          <cell r="Y242">
            <v>3.8225578102878695E-2</v>
          </cell>
        </row>
        <row r="243">
          <cell r="C243">
            <v>-4.5701812724885625E-3</v>
          </cell>
          <cell r="F243">
            <v>-2.0840819259791532E-2</v>
          </cell>
          <cell r="J243">
            <v>2.6908635794743431E-2</v>
          </cell>
          <cell r="N243">
            <v>3.5279468732706147E-2</v>
          </cell>
          <cell r="R243">
            <v>2.7638929726551013E-2</v>
          </cell>
          <cell r="V243">
            <v>4.1923551171393326E-2</v>
          </cell>
          <cell r="Y243">
            <v>-9.4295143800083908E-4</v>
          </cell>
        </row>
        <row r="244">
          <cell r="C244">
            <v>-3.100275624120083E-2</v>
          </cell>
          <cell r="F244">
            <v>-9.6085409252670145E-3</v>
          </cell>
          <cell r="J244">
            <v>-3.6188178528347409E-2</v>
          </cell>
          <cell r="N244">
            <v>1.9104688050757778E-2</v>
          </cell>
          <cell r="R244">
            <v>-3.7362015284460801E-2</v>
          </cell>
          <cell r="V244">
            <v>-6.7360685854255626E-3</v>
          </cell>
          <cell r="Y244">
            <v>-2.2130013831258663E-2</v>
          </cell>
        </row>
        <row r="245">
          <cell r="C245">
            <v>1.654566772267781E-2</v>
          </cell>
          <cell r="F245">
            <v>1.0246269998202414E-2</v>
          </cell>
          <cell r="J245">
            <v>-3.772489843296576E-2</v>
          </cell>
          <cell r="N245">
            <v>-4.631253947091369E-3</v>
          </cell>
          <cell r="R245">
            <v>-2.0244037714919578E-2</v>
          </cell>
          <cell r="V245">
            <v>1.3027295285359633E-2</v>
          </cell>
          <cell r="Y245">
            <v>-3.64282541092847E-2</v>
          </cell>
        </row>
        <row r="246">
          <cell r="C246">
            <v>-1.2330071637848891E-2</v>
          </cell>
          <cell r="F246">
            <v>-7.6067098488623128E-2</v>
          </cell>
          <cell r="J246">
            <v>-4.1713014460511677E-2</v>
          </cell>
          <cell r="N246">
            <v>1.0780906447265634E-2</v>
          </cell>
          <cell r="R246">
            <v>-5.7899090157154673E-3</v>
          </cell>
          <cell r="V246">
            <v>6.3324538258575258E-2</v>
          </cell>
          <cell r="Y246">
            <v>-8.234814512841418E-2</v>
          </cell>
        </row>
        <row r="247">
          <cell r="C247">
            <v>7.8116378690547879E-3</v>
          </cell>
          <cell r="F247">
            <v>4.694835680751179E-2</v>
          </cell>
          <cell r="J247">
            <v>3.5714285714285712E-2</v>
          </cell>
          <cell r="N247">
            <v>9.4508484284384943E-3</v>
          </cell>
          <cell r="R247">
            <v>3.9552880481513328E-2</v>
          </cell>
          <cell r="V247">
            <v>1.6085790884718513E-2</v>
          </cell>
          <cell r="Y247">
            <v>1.4474772539288543E-2</v>
          </cell>
        </row>
        <row r="248">
          <cell r="C248">
            <v>1.6537718916566829E-2</v>
          </cell>
          <cell r="F248">
            <v>-1.6418676244227826E-2</v>
          </cell>
          <cell r="J248">
            <v>3.2718619869125519E-2</v>
          </cell>
          <cell r="N248">
            <v>-9.2218202454422919E-3</v>
          </cell>
          <cell r="R248">
            <v>-3.0564045568213391E-2</v>
          </cell>
          <cell r="V248">
            <v>-2.1639344262295086E-2</v>
          </cell>
          <cell r="Y248">
            <v>4.7660311958405685E-2</v>
          </cell>
        </row>
        <row r="249">
          <cell r="C249">
            <v>-2.9486927462157825E-3</v>
          </cell>
          <cell r="F249">
            <v>1.8109002263625266E-2</v>
          </cell>
          <cell r="J249">
            <v>-4.9745618993781798E-2</v>
          </cell>
          <cell r="N249">
            <v>9.6691018478727974E-3</v>
          </cell>
          <cell r="R249">
            <v>-3.3231791747438382E-3</v>
          </cell>
          <cell r="V249">
            <v>-1.3097576948264292E-3</v>
          </cell>
          <cell r="Y249">
            <v>5.5809698078682475E-2</v>
          </cell>
        </row>
        <row r="250">
          <cell r="C250">
            <v>2.198837539574227E-2</v>
          </cell>
          <cell r="F250">
            <v>9.3696438773566981E-2</v>
          </cell>
          <cell r="J250">
            <v>-2.3730684326710817E-2</v>
          </cell>
          <cell r="N250">
            <v>4.1862547571076887E-2</v>
          </cell>
          <cell r="R250">
            <v>6.6908279899637584E-3</v>
          </cell>
          <cell r="V250">
            <v>3.315290933694183E-2</v>
          </cell>
          <cell r="Y250">
            <v>-8.4206116464181011E-2</v>
          </cell>
        </row>
        <row r="251">
          <cell r="C251">
            <v>4.7470887538543548E-3</v>
          </cell>
          <cell r="F251">
            <v>-2.7412483793295129E-2</v>
          </cell>
          <cell r="J251">
            <v>8.9597113650030064E-2</v>
          </cell>
          <cell r="N251">
            <v>-8.2016104980624541E-4</v>
          </cell>
          <cell r="R251">
            <v>4.72992700729927E-2</v>
          </cell>
          <cell r="V251">
            <v>-1.4009339559706529E-2</v>
          </cell>
          <cell r="Y251">
            <v>2.1394950791613101E-2</v>
          </cell>
        </row>
        <row r="252">
          <cell r="C252">
            <v>4.4068806639390203E-2</v>
          </cell>
          <cell r="F252">
            <v>9.1588785046729342E-3</v>
          </cell>
          <cell r="J252">
            <v>-2.6346604215456676E-2</v>
          </cell>
          <cell r="N252">
            <v>2.7109817736253709E-2</v>
          </cell>
          <cell r="R252">
            <v>-2.4494446026773E-2</v>
          </cell>
          <cell r="V252">
            <v>3.1658637302133578E-2</v>
          </cell>
          <cell r="Y252">
            <v>-4.7677261613691922E-2</v>
          </cell>
        </row>
        <row r="253">
          <cell r="C253">
            <v>-2.6184865147944488E-2</v>
          </cell>
          <cell r="F253">
            <v>-8.7497867985672897E-2</v>
          </cell>
          <cell r="J253">
            <v>5.627705627705628E-2</v>
          </cell>
          <cell r="N253">
            <v>1.777084957131719E-2</v>
          </cell>
          <cell r="R253">
            <v>5.784874962338054E-2</v>
          </cell>
          <cell r="V253">
            <v>6.88705234159765E-4</v>
          </cell>
          <cell r="Y253">
            <v>-5.5427251732101501E-2</v>
          </cell>
        </row>
        <row r="254">
          <cell r="C254">
            <v>-1.170472070585035E-2</v>
          </cell>
          <cell r="F254">
            <v>-6.5806246016570993E-2</v>
          </cell>
          <cell r="J254">
            <v>5.4794520547945202E-2</v>
          </cell>
          <cell r="N254">
            <v>6.669282071400549E-3</v>
          </cell>
          <cell r="R254">
            <v>9.7353209613629445E-3</v>
          </cell>
          <cell r="V254">
            <v>1.1846689895470379E-2</v>
          </cell>
          <cell r="Y254">
            <v>-1.2542759407069524E-2</v>
          </cell>
        </row>
        <row r="255">
          <cell r="C255">
            <v>-7.5900603873116854E-3</v>
          </cell>
          <cell r="F255">
            <v>1.7839766461239078E-2</v>
          </cell>
          <cell r="J255">
            <v>0.11897810218978103</v>
          </cell>
          <cell r="N255">
            <v>-8.7112079023100603E-3</v>
          </cell>
          <cell r="R255">
            <v>3.1053952321204517E-2</v>
          </cell>
          <cell r="V255">
            <v>-2.579769178547188E-2</v>
          </cell>
          <cell r="Y255">
            <v>4.5819014891178185E-3</v>
          </cell>
        </row>
        <row r="256">
          <cell r="C256">
            <v>-2.1808503415216993E-2</v>
          </cell>
          <cell r="F256">
            <v>-4.5205037132709262E-3</v>
          </cell>
          <cell r="J256">
            <v>-5.647382920110193E-2</v>
          </cell>
          <cell r="N256">
            <v>5.08130081300813E-3</v>
          </cell>
          <cell r="R256">
            <v>-3.9180229053646778E-2</v>
          </cell>
          <cell r="V256">
            <v>-1.2072434607645855E-2</v>
          </cell>
          <cell r="Y256">
            <v>2.0257109466303096E-2</v>
          </cell>
        </row>
        <row r="257">
          <cell r="C257">
            <v>1.9592636434139364E-3</v>
          </cell>
          <cell r="F257">
            <v>-2.1484992101105837E-2</v>
          </cell>
          <cell r="J257">
            <v>3.3451957295373667E-2</v>
          </cell>
          <cell r="N257">
            <v>-4.43614289049735E-3</v>
          </cell>
          <cell r="R257">
            <v>-2.8404099560761346E-2</v>
          </cell>
          <cell r="V257">
            <v>-5.9999999999999906E-3</v>
          </cell>
          <cell r="Y257">
            <v>3.8971161340620967E-4</v>
          </cell>
        </row>
        <row r="258">
          <cell r="C258">
            <v>1.1996433771768246E-2</v>
          </cell>
          <cell r="F258">
            <v>-1.0937500000000044E-2</v>
          </cell>
          <cell r="J258">
            <v>-2.0223152022315203E-2</v>
          </cell>
          <cell r="N258">
            <v>1.0220929318342637E-2</v>
          </cell>
          <cell r="R258">
            <v>-3.0380465644520158E-2</v>
          </cell>
          <cell r="V258">
            <v>4.0160642570281459E-3</v>
          </cell>
          <cell r="Y258">
            <v>3.0522088353413499E-2</v>
          </cell>
        </row>
        <row r="259">
          <cell r="C259">
            <v>-8.185979961545343E-4</v>
          </cell>
          <cell r="F259">
            <v>1.7217091876662925E-3</v>
          </cell>
          <cell r="J259">
            <v>-6.9252077562326868E-3</v>
          </cell>
          <cell r="N259">
            <v>-1.4489384782271672E-2</v>
          </cell>
          <cell r="R259">
            <v>-1.6475844736107234E-2</v>
          </cell>
          <cell r="V259">
            <v>1.340482573726513E-3</v>
          </cell>
          <cell r="Y259">
            <v>-6.3909774436090194E-2</v>
          </cell>
        </row>
        <row r="260">
          <cell r="C260">
            <v>5.0713164681236728E-3</v>
          </cell>
          <cell r="F260">
            <v>1.2840837032339921E-2</v>
          </cell>
          <cell r="J260">
            <v>-4.1379310344827587E-3</v>
          </cell>
          <cell r="N260">
            <v>1.5499070055782554E-4</v>
          </cell>
          <cell r="R260">
            <v>-4.1713014460511679E-3</v>
          </cell>
          <cell r="V260">
            <v>-7.9787234042552682E-3</v>
          </cell>
          <cell r="Y260">
            <v>-1.5015015015015028E-3</v>
          </cell>
        </row>
        <row r="261">
          <cell r="C261">
            <v>2.058283940163692E-2</v>
          </cell>
          <cell r="F261">
            <v>4.8885932823411998E-2</v>
          </cell>
          <cell r="J261">
            <v>1.6830294530154277E-2</v>
          </cell>
          <cell r="N261">
            <v>-2.0108275328692259E-3</v>
          </cell>
          <cell r="R261">
            <v>1.6680802940344925E-2</v>
          </cell>
          <cell r="V261">
            <v>-1.3280212483400631E-3</v>
          </cell>
          <cell r="Y261">
            <v>7.5131480090166183E-4</v>
          </cell>
        </row>
        <row r="262">
          <cell r="C262">
            <v>1.2029092622942059E-2</v>
          </cell>
          <cell r="F262">
            <v>1.8631436314363169E-2</v>
          </cell>
          <cell r="J262">
            <v>-5.750165234633179E-2</v>
          </cell>
          <cell r="N262">
            <v>-1.4181152790484836E-2</v>
          </cell>
          <cell r="R262">
            <v>-2.1576763485477178E-2</v>
          </cell>
          <cell r="V262">
            <v>-1.8892508143322419E-2</v>
          </cell>
          <cell r="Y262">
            <v>-3.3054849255357857E-2</v>
          </cell>
        </row>
      </sheetData>
      <sheetData sheetId="2" refreshError="1"/>
      <sheetData sheetId="3" refreshError="1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investopedia.com/terms/c/calloption.asp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1.bin"/><Relationship Id="rId4" Type="http://schemas.openxmlformats.org/officeDocument/2006/relationships/ctrlProp" Target="../ctrlProps/ctrlProp6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3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4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7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11.xml"/><Relationship Id="rId4" Type="http://schemas.openxmlformats.org/officeDocument/2006/relationships/ctrlProp" Target="../ctrlProps/ctrlProp8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42"/>
  <sheetViews>
    <sheetView tabSelected="1" workbookViewId="0">
      <selection activeCell="I41" sqref="I41"/>
    </sheetView>
  </sheetViews>
  <sheetFormatPr defaultRowHeight="15" x14ac:dyDescent="0.25"/>
  <cols>
    <col min="2" max="2" width="28.42578125" customWidth="1"/>
  </cols>
  <sheetData>
    <row r="2" spans="2:3" x14ac:dyDescent="0.25">
      <c r="B2" t="s">
        <v>980</v>
      </c>
      <c r="C2" s="39" t="s">
        <v>959</v>
      </c>
    </row>
    <row r="4" spans="2:3" x14ac:dyDescent="0.25">
      <c r="B4" t="s">
        <v>968</v>
      </c>
      <c r="C4" s="39" t="s">
        <v>960</v>
      </c>
    </row>
    <row r="6" spans="2:3" x14ac:dyDescent="0.25">
      <c r="C6" s="39" t="s">
        <v>961</v>
      </c>
    </row>
    <row r="8" spans="2:3" x14ac:dyDescent="0.25">
      <c r="C8" s="39" t="s">
        <v>962</v>
      </c>
    </row>
    <row r="10" spans="2:3" x14ac:dyDescent="0.25">
      <c r="C10" s="39" t="s">
        <v>963</v>
      </c>
    </row>
    <row r="12" spans="2:3" x14ac:dyDescent="0.25">
      <c r="C12" s="39" t="s">
        <v>964</v>
      </c>
    </row>
    <row r="14" spans="2:3" x14ac:dyDescent="0.25">
      <c r="B14" t="s">
        <v>970</v>
      </c>
      <c r="C14" s="39" t="s">
        <v>965</v>
      </c>
    </row>
    <row r="16" spans="2:3" x14ac:dyDescent="0.25">
      <c r="B16" t="s">
        <v>2</v>
      </c>
      <c r="C16" s="39" t="s">
        <v>966</v>
      </c>
    </row>
    <row r="18" spans="2:3" x14ac:dyDescent="0.25">
      <c r="C18" s="39" t="s">
        <v>967</v>
      </c>
    </row>
    <row r="20" spans="2:3" x14ac:dyDescent="0.25">
      <c r="C20" s="39" t="s">
        <v>971</v>
      </c>
    </row>
    <row r="22" spans="2:3" x14ac:dyDescent="0.25">
      <c r="C22" s="39" t="s">
        <v>0</v>
      </c>
    </row>
    <row r="24" spans="2:3" x14ac:dyDescent="0.25">
      <c r="B24" t="s">
        <v>1</v>
      </c>
      <c r="C24" s="39" t="s">
        <v>972</v>
      </c>
    </row>
    <row r="26" spans="2:3" x14ac:dyDescent="0.25">
      <c r="C26" s="39" t="s">
        <v>973</v>
      </c>
    </row>
    <row r="28" spans="2:3" x14ac:dyDescent="0.25">
      <c r="C28" s="39" t="s">
        <v>344</v>
      </c>
    </row>
    <row r="30" spans="2:3" x14ac:dyDescent="0.25">
      <c r="B30" t="s">
        <v>974</v>
      </c>
      <c r="C30" s="39" t="s">
        <v>974</v>
      </c>
    </row>
    <row r="32" spans="2:3" x14ac:dyDescent="0.25">
      <c r="C32" s="39" t="s">
        <v>975</v>
      </c>
    </row>
    <row r="34" spans="2:3" x14ac:dyDescent="0.25">
      <c r="B34" t="s">
        <v>969</v>
      </c>
      <c r="C34" s="39" t="s">
        <v>976</v>
      </c>
    </row>
    <row r="36" spans="2:3" x14ac:dyDescent="0.25">
      <c r="C36" s="39" t="s">
        <v>977</v>
      </c>
    </row>
    <row r="38" spans="2:3" x14ac:dyDescent="0.25">
      <c r="C38" s="39" t="s">
        <v>978</v>
      </c>
    </row>
    <row r="40" spans="2:3" x14ac:dyDescent="0.25">
      <c r="C40" s="39" t="s">
        <v>783</v>
      </c>
    </row>
    <row r="42" spans="2:3" x14ac:dyDescent="0.25">
      <c r="C42" s="39" t="s">
        <v>979</v>
      </c>
    </row>
  </sheetData>
  <hyperlinks>
    <hyperlink ref="C2" location="'Biases and Emotions'!A1" display="Biases and Emotions"/>
    <hyperlink ref="C4" location="'Economic Indicators - Cycles'!A1" display="Economic Indicators"/>
    <hyperlink ref="C6" location="'Business Cycle and CME'!A1" display="Business Cycles and Capital Market Expectations"/>
    <hyperlink ref="C8" location="'Monitary &amp; Fiscal Pcy + Taylor '!A1" display="Monitary Policy, Fiscal Policy and the Taylor Rule"/>
    <hyperlink ref="C10" location="'CME models'!A1" display="Capital Market Expectations Models"/>
    <hyperlink ref="C12" location="'emerging mkt debt'!A1" display="Emerging Market Debt"/>
    <hyperlink ref="C14" location="'SAA - TAA'!A1" display="Strategic Asset Allocation; Tactical Asset Allocation"/>
    <hyperlink ref="C16" location="'Options Strategies'!A1" display="Option Strategies"/>
    <hyperlink ref="C18" location="'Options &quot;the Greeks&quot;'!A1" display="Options The Greeks"/>
    <hyperlink ref="C20" location="'SWAPS, Futures and Forwards'!A1" display="SWAPS, Futures and Forwards"/>
    <hyperlink ref="C22" location="VIX!A1" display="VIX"/>
    <hyperlink ref="C24" location="'Fixed Income Valuation'!A1" display="Fixed Income Valuation"/>
    <hyperlink ref="C26" location="'FI deeper dive'!A1" display="FI Deeper Dive"/>
    <hyperlink ref="C28" location="'Credit Default SWAPS'!A1" display="Credit Default SWAPS"/>
    <hyperlink ref="C30" location="'Performance Valuation '!A1" display="Performance Valuation"/>
    <hyperlink ref="C32" location="Benchmarks!A1" display="Benchmarks"/>
    <hyperlink ref="C34" location="'Currency FX and Hedging'!A1" display="Currency and FX Hedging"/>
    <hyperlink ref="C36" location="'Trading and Rebalancing'!A1" display="Trading and Rebalancing"/>
    <hyperlink ref="C38" location="'Bank Leverage'!A1" display="Bank Leverage"/>
    <hyperlink ref="C40" location="'Alternative Investments'!A1" display="Alternative Investments"/>
    <hyperlink ref="C42" location="'Life Insurance - Annuities'!A1" display="Life Insurance / Annuities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42"/>
  <sheetViews>
    <sheetView workbookViewId="0"/>
  </sheetViews>
  <sheetFormatPr defaultRowHeight="15" x14ac:dyDescent="0.25"/>
  <cols>
    <col min="2" max="2" width="22.7109375" customWidth="1"/>
    <col min="3" max="3" width="20" customWidth="1"/>
  </cols>
  <sheetData>
    <row r="3" spans="2:3" x14ac:dyDescent="0.25">
      <c r="B3" t="s">
        <v>3</v>
      </c>
      <c r="C3" s="17" t="s">
        <v>15</v>
      </c>
    </row>
    <row r="5" spans="2:3" x14ac:dyDescent="0.25">
      <c r="C5" s="16"/>
    </row>
    <row r="6" spans="2:3" x14ac:dyDescent="0.25">
      <c r="C6" s="16" t="s">
        <v>4</v>
      </c>
    </row>
    <row r="7" spans="2:3" x14ac:dyDescent="0.25">
      <c r="C7" s="16"/>
    </row>
    <row r="8" spans="2:3" x14ac:dyDescent="0.25">
      <c r="C8" s="16" t="s">
        <v>5</v>
      </c>
    </row>
    <row r="9" spans="2:3" x14ac:dyDescent="0.25">
      <c r="C9" s="16"/>
    </row>
    <row r="10" spans="2:3" x14ac:dyDescent="0.25">
      <c r="C10" s="16" t="s">
        <v>6</v>
      </c>
    </row>
    <row r="11" spans="2:3" x14ac:dyDescent="0.25">
      <c r="C11" s="16"/>
    </row>
    <row r="12" spans="2:3" x14ac:dyDescent="0.25">
      <c r="C12" s="16" t="s">
        <v>7</v>
      </c>
    </row>
    <row r="13" spans="2:3" x14ac:dyDescent="0.25">
      <c r="C13" s="16"/>
    </row>
    <row r="14" spans="2:3" x14ac:dyDescent="0.25">
      <c r="C14" s="16" t="s">
        <v>8</v>
      </c>
    </row>
    <row r="15" spans="2:3" x14ac:dyDescent="0.25">
      <c r="C15" s="16"/>
    </row>
    <row r="16" spans="2:3" x14ac:dyDescent="0.25">
      <c r="C16" s="16" t="s">
        <v>9</v>
      </c>
    </row>
    <row r="19" spans="2:3" x14ac:dyDescent="0.25">
      <c r="C19" s="16" t="s">
        <v>10</v>
      </c>
    </row>
    <row r="20" spans="2:3" x14ac:dyDescent="0.25">
      <c r="C20" s="16"/>
    </row>
    <row r="21" spans="2:3" x14ac:dyDescent="0.25">
      <c r="C21" s="16" t="s">
        <v>11</v>
      </c>
    </row>
    <row r="22" spans="2:3" x14ac:dyDescent="0.25">
      <c r="C22" s="16"/>
    </row>
    <row r="23" spans="2:3" x14ac:dyDescent="0.25">
      <c r="C23" s="16" t="s">
        <v>12</v>
      </c>
    </row>
    <row r="24" spans="2:3" x14ac:dyDescent="0.25">
      <c r="C24" s="16"/>
    </row>
    <row r="25" spans="2:3" x14ac:dyDescent="0.25">
      <c r="C25" s="16" t="s">
        <v>13</v>
      </c>
    </row>
    <row r="26" spans="2:3" x14ac:dyDescent="0.25">
      <c r="C26" s="16"/>
    </row>
    <row r="27" spans="2:3" x14ac:dyDescent="0.25">
      <c r="C27" s="16" t="s">
        <v>14</v>
      </c>
    </row>
    <row r="30" spans="2:3" x14ac:dyDescent="0.25">
      <c r="B30" t="s">
        <v>16</v>
      </c>
      <c r="C30" s="15" t="s">
        <v>17</v>
      </c>
    </row>
    <row r="32" spans="2:3" x14ac:dyDescent="0.25">
      <c r="C32" s="16" t="s">
        <v>18</v>
      </c>
    </row>
    <row r="33" spans="3:3" x14ac:dyDescent="0.25">
      <c r="C33" s="16"/>
    </row>
    <row r="34" spans="3:3" x14ac:dyDescent="0.25">
      <c r="C34" s="16" t="s">
        <v>19</v>
      </c>
    </row>
    <row r="35" spans="3:3" x14ac:dyDescent="0.25">
      <c r="C35" s="16"/>
    </row>
    <row r="36" spans="3:3" x14ac:dyDescent="0.25">
      <c r="C36" s="16" t="s">
        <v>20</v>
      </c>
    </row>
    <row r="37" spans="3:3" x14ac:dyDescent="0.25">
      <c r="C37" s="16"/>
    </row>
    <row r="38" spans="3:3" x14ac:dyDescent="0.25">
      <c r="C38" s="16" t="s">
        <v>21</v>
      </c>
    </row>
    <row r="39" spans="3:3" x14ac:dyDescent="0.25">
      <c r="C39" s="16"/>
    </row>
    <row r="40" spans="3:3" x14ac:dyDescent="0.25">
      <c r="C40" s="16" t="s">
        <v>22</v>
      </c>
    </row>
    <row r="41" spans="3:3" x14ac:dyDescent="0.25">
      <c r="C41" s="16"/>
    </row>
    <row r="42" spans="3:3" x14ac:dyDescent="0.25">
      <c r="C42" s="16" t="s">
        <v>23</v>
      </c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R73"/>
  <sheetViews>
    <sheetView workbookViewId="0">
      <selection activeCell="I8" sqref="I8"/>
    </sheetView>
  </sheetViews>
  <sheetFormatPr defaultRowHeight="15" x14ac:dyDescent="0.25"/>
  <cols>
    <col min="1" max="1" width="9.140625" style="64"/>
    <col min="2" max="4" width="9.140625" style="130"/>
    <col min="5" max="16384" width="9.140625" style="64"/>
  </cols>
  <sheetData>
    <row r="2" spans="2:18" x14ac:dyDescent="0.25">
      <c r="B2" s="130" t="s">
        <v>28</v>
      </c>
      <c r="E2" s="64" t="s">
        <v>29</v>
      </c>
      <c r="J2" s="64" t="s">
        <v>30</v>
      </c>
      <c r="L2" s="64" t="s">
        <v>31</v>
      </c>
    </row>
    <row r="4" spans="2:18" x14ac:dyDescent="0.25">
      <c r="P4" s="130" t="s">
        <v>43</v>
      </c>
      <c r="R4" s="130" t="s">
        <v>44</v>
      </c>
    </row>
    <row r="6" spans="2:18" x14ac:dyDescent="0.25">
      <c r="B6" s="302" t="s">
        <v>101</v>
      </c>
      <c r="C6" s="302"/>
      <c r="D6" s="302" t="s">
        <v>102</v>
      </c>
      <c r="E6" s="302"/>
      <c r="F6" s="302"/>
      <c r="R6" s="64" t="s">
        <v>366</v>
      </c>
    </row>
    <row r="8" spans="2:18" x14ac:dyDescent="0.25">
      <c r="B8" s="130" t="s">
        <v>25</v>
      </c>
      <c r="R8" s="64" t="s">
        <v>367</v>
      </c>
    </row>
    <row r="10" spans="2:18" x14ac:dyDescent="0.25">
      <c r="C10" s="64" t="s">
        <v>32</v>
      </c>
      <c r="R10" s="64" t="s">
        <v>368</v>
      </c>
    </row>
    <row r="11" spans="2:18" x14ac:dyDescent="0.25">
      <c r="C11" s="64" t="s">
        <v>34</v>
      </c>
      <c r="R11" s="64" t="s">
        <v>369</v>
      </c>
    </row>
    <row r="12" spans="2:18" x14ac:dyDescent="0.25">
      <c r="C12" s="64" t="s">
        <v>35</v>
      </c>
      <c r="R12" s="64" t="s">
        <v>370</v>
      </c>
    </row>
    <row r="13" spans="2:18" x14ac:dyDescent="0.25">
      <c r="C13" s="64" t="s">
        <v>40</v>
      </c>
      <c r="R13" s="64" t="s">
        <v>371</v>
      </c>
    </row>
    <row r="14" spans="2:18" x14ac:dyDescent="0.25">
      <c r="C14" s="64" t="s">
        <v>33</v>
      </c>
      <c r="R14" s="64" t="s">
        <v>372</v>
      </c>
    </row>
    <row r="15" spans="2:18" x14ac:dyDescent="0.25">
      <c r="C15" s="64" t="s">
        <v>36</v>
      </c>
      <c r="R15" s="64" t="s">
        <v>373</v>
      </c>
    </row>
    <row r="16" spans="2:18" x14ac:dyDescent="0.25">
      <c r="R16" s="64" t="s">
        <v>374</v>
      </c>
    </row>
    <row r="17" spans="2:18" x14ac:dyDescent="0.25">
      <c r="R17" s="64" t="s">
        <v>375</v>
      </c>
    </row>
    <row r="18" spans="2:18" x14ac:dyDescent="0.25">
      <c r="B18" s="130" t="s">
        <v>26</v>
      </c>
      <c r="R18" s="64" t="s">
        <v>376</v>
      </c>
    </row>
    <row r="20" spans="2:18" x14ac:dyDescent="0.25">
      <c r="C20" s="64" t="s">
        <v>39</v>
      </c>
    </row>
    <row r="21" spans="2:18" x14ac:dyDescent="0.25">
      <c r="C21" s="64" t="s">
        <v>37</v>
      </c>
    </row>
    <row r="22" spans="2:18" x14ac:dyDescent="0.25">
      <c r="C22" s="64" t="s">
        <v>38</v>
      </c>
    </row>
    <row r="23" spans="2:18" x14ac:dyDescent="0.25">
      <c r="C23" s="64" t="s">
        <v>41</v>
      </c>
    </row>
    <row r="24" spans="2:18" x14ac:dyDescent="0.25">
      <c r="C24" s="64" t="s">
        <v>42</v>
      </c>
    </row>
    <row r="25" spans="2:18" x14ac:dyDescent="0.25">
      <c r="C25" s="64" t="s">
        <v>45</v>
      </c>
    </row>
    <row r="26" spans="2:18" x14ac:dyDescent="0.25">
      <c r="C26" s="64"/>
    </row>
    <row r="28" spans="2:18" x14ac:dyDescent="0.25">
      <c r="B28" s="130" t="s">
        <v>27</v>
      </c>
    </row>
    <row r="30" spans="2:18" x14ac:dyDescent="0.25">
      <c r="C30" s="302" t="s">
        <v>46</v>
      </c>
    </row>
    <row r="31" spans="2:18" x14ac:dyDescent="0.25">
      <c r="C31" s="302" t="s">
        <v>47</v>
      </c>
    </row>
    <row r="32" spans="2:18" x14ac:dyDescent="0.25">
      <c r="C32" s="302" t="s">
        <v>48</v>
      </c>
    </row>
    <row r="34" spans="2:15" x14ac:dyDescent="0.25">
      <c r="B34" s="303"/>
      <c r="C34" s="303"/>
      <c r="D34" s="303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</row>
    <row r="36" spans="2:15" x14ac:dyDescent="0.25">
      <c r="C36" s="130" t="s">
        <v>179</v>
      </c>
    </row>
    <row r="38" spans="2:15" x14ac:dyDescent="0.25">
      <c r="B38" s="130" t="s">
        <v>180</v>
      </c>
      <c r="E38" s="64" t="s">
        <v>181</v>
      </c>
    </row>
    <row r="39" spans="2:15" x14ac:dyDescent="0.25">
      <c r="E39" s="304" t="s">
        <v>331</v>
      </c>
    </row>
    <row r="40" spans="2:15" x14ac:dyDescent="0.25">
      <c r="E40" s="64" t="s">
        <v>182</v>
      </c>
    </row>
    <row r="41" spans="2:15" x14ac:dyDescent="0.25">
      <c r="E41" s="64" t="s">
        <v>183</v>
      </c>
    </row>
    <row r="42" spans="2:15" x14ac:dyDescent="0.25">
      <c r="E42" s="64" t="s">
        <v>184</v>
      </c>
    </row>
    <row r="45" spans="2:15" x14ac:dyDescent="0.25">
      <c r="B45" s="130" t="s">
        <v>185</v>
      </c>
      <c r="E45" s="64" t="s">
        <v>186</v>
      </c>
    </row>
    <row r="48" spans="2:15" x14ac:dyDescent="0.25">
      <c r="B48" s="130" t="s">
        <v>187</v>
      </c>
      <c r="E48" s="64" t="s">
        <v>188</v>
      </c>
    </row>
    <row r="49" spans="2:6" x14ac:dyDescent="0.25">
      <c r="E49" s="64" t="s">
        <v>189</v>
      </c>
    </row>
    <row r="50" spans="2:6" x14ac:dyDescent="0.25">
      <c r="E50" s="64" t="s">
        <v>190</v>
      </c>
    </row>
    <row r="51" spans="2:6" x14ac:dyDescent="0.25">
      <c r="E51" s="64" t="s">
        <v>191</v>
      </c>
    </row>
    <row r="53" spans="2:6" x14ac:dyDescent="0.25">
      <c r="E53" s="64" t="s">
        <v>192</v>
      </c>
    </row>
    <row r="56" spans="2:6" x14ac:dyDescent="0.25">
      <c r="B56" s="130" t="s">
        <v>283</v>
      </c>
      <c r="E56" s="64" t="s">
        <v>242</v>
      </c>
    </row>
    <row r="58" spans="2:6" x14ac:dyDescent="0.25">
      <c r="E58" s="64" t="s">
        <v>243</v>
      </c>
    </row>
    <row r="60" spans="2:6" x14ac:dyDescent="0.25">
      <c r="E60" s="64" t="s">
        <v>244</v>
      </c>
    </row>
    <row r="62" spans="2:6" x14ac:dyDescent="0.25">
      <c r="F62" s="304" t="s">
        <v>245</v>
      </c>
    </row>
    <row r="64" spans="2:6" x14ac:dyDescent="0.25">
      <c r="F64" s="64" t="s">
        <v>246</v>
      </c>
    </row>
    <row r="66" spans="2:13" x14ac:dyDescent="0.25">
      <c r="F66" s="64" t="s">
        <v>247</v>
      </c>
    </row>
    <row r="69" spans="2:13" x14ac:dyDescent="0.25">
      <c r="B69" s="130" t="s">
        <v>0</v>
      </c>
      <c r="E69" s="305" t="s">
        <v>278</v>
      </c>
    </row>
    <row r="70" spans="2:13" x14ac:dyDescent="0.25">
      <c r="E70" s="305" t="s">
        <v>279</v>
      </c>
    </row>
    <row r="73" spans="2:13" x14ac:dyDescent="0.25">
      <c r="M73" s="64" t="s">
        <v>381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54"/>
  <sheetViews>
    <sheetView workbookViewId="0">
      <selection activeCell="L31" sqref="L31"/>
    </sheetView>
  </sheetViews>
  <sheetFormatPr defaultRowHeight="15" x14ac:dyDescent="0.25"/>
  <cols>
    <col min="4" max="4" width="16" customWidth="1"/>
  </cols>
  <sheetData>
    <row r="3" spans="2:13" x14ac:dyDescent="0.25">
      <c r="B3" s="18" t="s">
        <v>49</v>
      </c>
      <c r="D3" s="20" t="s">
        <v>59</v>
      </c>
      <c r="M3" s="18" t="s">
        <v>146</v>
      </c>
    </row>
    <row r="4" spans="2:13" x14ac:dyDescent="0.25">
      <c r="B4" s="18"/>
      <c r="D4" s="20" t="s">
        <v>54</v>
      </c>
      <c r="M4" t="s">
        <v>147</v>
      </c>
    </row>
    <row r="5" spans="2:13" x14ac:dyDescent="0.25">
      <c r="B5" s="18"/>
      <c r="D5" s="20" t="s">
        <v>57</v>
      </c>
    </row>
    <row r="6" spans="2:13" x14ac:dyDescent="0.25">
      <c r="B6" s="18"/>
      <c r="D6" s="20" t="s">
        <v>55</v>
      </c>
    </row>
    <row r="7" spans="2:13" x14ac:dyDescent="0.25">
      <c r="B7" s="18"/>
      <c r="D7" s="20" t="s">
        <v>56</v>
      </c>
    </row>
    <row r="8" spans="2:13" x14ac:dyDescent="0.25">
      <c r="B8" s="18"/>
      <c r="D8" s="20" t="s">
        <v>58</v>
      </c>
    </row>
    <row r="9" spans="2:13" x14ac:dyDescent="0.25">
      <c r="B9" s="18"/>
      <c r="D9" s="20"/>
      <c r="M9" s="18" t="s">
        <v>351</v>
      </c>
    </row>
    <row r="10" spans="2:13" x14ac:dyDescent="0.25">
      <c r="B10" s="18"/>
      <c r="D10" s="20"/>
      <c r="M10" t="s">
        <v>936</v>
      </c>
    </row>
    <row r="11" spans="2:13" x14ac:dyDescent="0.25">
      <c r="B11" s="18" t="s">
        <v>50</v>
      </c>
      <c r="D11" s="20" t="s">
        <v>63</v>
      </c>
    </row>
    <row r="12" spans="2:13" x14ac:dyDescent="0.25">
      <c r="B12" s="18"/>
      <c r="D12" s="20" t="s">
        <v>64</v>
      </c>
    </row>
    <row r="13" spans="2:13" x14ac:dyDescent="0.25">
      <c r="B13" s="18"/>
      <c r="D13" s="20" t="s">
        <v>65</v>
      </c>
    </row>
    <row r="14" spans="2:13" x14ac:dyDescent="0.25">
      <c r="B14" s="18"/>
      <c r="D14" s="20" t="s">
        <v>60</v>
      </c>
    </row>
    <row r="15" spans="2:13" x14ac:dyDescent="0.25">
      <c r="B15" s="18"/>
      <c r="D15" s="20" t="s">
        <v>61</v>
      </c>
    </row>
    <row r="16" spans="2:13" x14ac:dyDescent="0.25">
      <c r="B16" s="18"/>
      <c r="D16" s="20" t="s">
        <v>62</v>
      </c>
    </row>
    <row r="17" spans="2:13" x14ac:dyDescent="0.25">
      <c r="B17" s="18"/>
      <c r="D17" s="20"/>
    </row>
    <row r="18" spans="2:13" x14ac:dyDescent="0.25">
      <c r="B18" s="18"/>
      <c r="D18" s="20"/>
    </row>
    <row r="19" spans="2:13" x14ac:dyDescent="0.25">
      <c r="B19" s="18" t="s">
        <v>51</v>
      </c>
      <c r="D19" s="20" t="s">
        <v>66</v>
      </c>
      <c r="M19" s="18" t="s">
        <v>145</v>
      </c>
    </row>
    <row r="20" spans="2:13" x14ac:dyDescent="0.25">
      <c r="B20" s="18"/>
      <c r="D20" s="20" t="s">
        <v>67</v>
      </c>
    </row>
    <row r="21" spans="2:13" x14ac:dyDescent="0.25">
      <c r="B21" s="18"/>
      <c r="D21" s="20" t="s">
        <v>68</v>
      </c>
    </row>
    <row r="22" spans="2:13" x14ac:dyDescent="0.25">
      <c r="B22" s="18"/>
      <c r="D22" s="20" t="s">
        <v>69</v>
      </c>
    </row>
    <row r="23" spans="2:13" x14ac:dyDescent="0.25">
      <c r="B23" s="18"/>
      <c r="D23" s="20" t="s">
        <v>70</v>
      </c>
    </row>
    <row r="24" spans="2:13" x14ac:dyDescent="0.25">
      <c r="B24" s="18"/>
      <c r="D24" s="20"/>
    </row>
    <row r="25" spans="2:13" x14ac:dyDescent="0.25">
      <c r="B25" s="18"/>
      <c r="D25" s="20"/>
    </row>
    <row r="26" spans="2:13" x14ac:dyDescent="0.25">
      <c r="B26" s="18" t="s">
        <v>52</v>
      </c>
      <c r="D26" s="20" t="s">
        <v>71</v>
      </c>
      <c r="M26" s="18" t="s">
        <v>352</v>
      </c>
    </row>
    <row r="27" spans="2:13" x14ac:dyDescent="0.25">
      <c r="B27" s="18"/>
      <c r="D27" s="20" t="s">
        <v>72</v>
      </c>
      <c r="M27" t="s">
        <v>935</v>
      </c>
    </row>
    <row r="28" spans="2:13" x14ac:dyDescent="0.25">
      <c r="B28" s="18"/>
      <c r="D28" s="20" t="s">
        <v>73</v>
      </c>
    </row>
    <row r="29" spans="2:13" x14ac:dyDescent="0.25">
      <c r="B29" s="18"/>
      <c r="D29" s="20" t="s">
        <v>74</v>
      </c>
    </row>
    <row r="30" spans="2:13" x14ac:dyDescent="0.25">
      <c r="B30" s="18"/>
      <c r="D30" s="20" t="s">
        <v>75</v>
      </c>
    </row>
    <row r="31" spans="2:13" x14ac:dyDescent="0.25">
      <c r="B31" s="18"/>
      <c r="D31" s="20" t="s">
        <v>76</v>
      </c>
    </row>
    <row r="32" spans="2:13" x14ac:dyDescent="0.25">
      <c r="B32" s="18"/>
      <c r="D32" s="20"/>
    </row>
    <row r="33" spans="2:4" x14ac:dyDescent="0.25">
      <c r="B33" s="18"/>
      <c r="D33" s="20"/>
    </row>
    <row r="34" spans="2:4" x14ac:dyDescent="0.25">
      <c r="B34" s="18"/>
      <c r="D34" s="20"/>
    </row>
    <row r="35" spans="2:4" x14ac:dyDescent="0.25">
      <c r="B35" s="18"/>
      <c r="D35" s="20"/>
    </row>
    <row r="36" spans="2:4" x14ac:dyDescent="0.25">
      <c r="B36" s="18"/>
      <c r="D36" s="20"/>
    </row>
    <row r="37" spans="2:4" x14ac:dyDescent="0.25">
      <c r="B37" s="18" t="s">
        <v>53</v>
      </c>
      <c r="D37" s="38" t="s">
        <v>330</v>
      </c>
    </row>
    <row r="38" spans="2:4" x14ac:dyDescent="0.25">
      <c r="B38" s="18"/>
      <c r="D38" t="s">
        <v>324</v>
      </c>
    </row>
    <row r="39" spans="2:4" x14ac:dyDescent="0.25">
      <c r="D39" t="s">
        <v>325</v>
      </c>
    </row>
    <row r="40" spans="2:4" x14ac:dyDescent="0.25">
      <c r="D40" t="s">
        <v>326</v>
      </c>
    </row>
    <row r="41" spans="2:4" x14ac:dyDescent="0.25">
      <c r="D41" t="s">
        <v>327</v>
      </c>
    </row>
    <row r="42" spans="2:4" x14ac:dyDescent="0.25">
      <c r="D42" t="s">
        <v>328</v>
      </c>
    </row>
    <row r="43" spans="2:4" x14ac:dyDescent="0.25">
      <c r="D43" t="s">
        <v>329</v>
      </c>
    </row>
    <row r="48" spans="2:4" x14ac:dyDescent="0.25">
      <c r="B48" s="15" t="s">
        <v>331</v>
      </c>
    </row>
    <row r="50" spans="2:2" x14ac:dyDescent="0.25">
      <c r="B50" s="15"/>
    </row>
    <row r="52" spans="2:2" x14ac:dyDescent="0.25">
      <c r="B52" s="15"/>
    </row>
    <row r="54" spans="2:2" x14ac:dyDescent="0.25">
      <c r="B54" s="1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4"/>
  <sheetViews>
    <sheetView workbookViewId="0">
      <selection activeCell="L28" sqref="L28"/>
    </sheetView>
  </sheetViews>
  <sheetFormatPr defaultRowHeight="15" x14ac:dyDescent="0.25"/>
  <cols>
    <col min="2" max="2" width="49.140625" customWidth="1"/>
    <col min="5" max="5" width="10.5703125" customWidth="1"/>
  </cols>
  <sheetData>
    <row r="2" spans="2:3" x14ac:dyDescent="0.25">
      <c r="B2" s="21" t="s">
        <v>77</v>
      </c>
      <c r="C2" s="16" t="s">
        <v>78</v>
      </c>
    </row>
    <row r="3" spans="2:3" x14ac:dyDescent="0.25">
      <c r="B3" s="18"/>
      <c r="C3" s="16" t="s">
        <v>79</v>
      </c>
    </row>
    <row r="4" spans="2:3" x14ac:dyDescent="0.25">
      <c r="B4" s="18"/>
      <c r="C4" s="16" t="s">
        <v>80</v>
      </c>
    </row>
    <row r="5" spans="2:3" x14ac:dyDescent="0.25">
      <c r="B5" s="18"/>
      <c r="C5" t="s">
        <v>81</v>
      </c>
    </row>
    <row r="6" spans="2:3" x14ac:dyDescent="0.25">
      <c r="B6" s="18"/>
    </row>
    <row r="7" spans="2:3" x14ac:dyDescent="0.25">
      <c r="B7" s="18"/>
    </row>
    <row r="8" spans="2:3" x14ac:dyDescent="0.25">
      <c r="B8" s="18" t="s">
        <v>82</v>
      </c>
      <c r="C8" s="16" t="s">
        <v>83</v>
      </c>
    </row>
    <row r="9" spans="2:3" x14ac:dyDescent="0.25">
      <c r="C9" t="s">
        <v>84</v>
      </c>
    </row>
    <row r="10" spans="2:3" x14ac:dyDescent="0.25">
      <c r="C10" s="16"/>
    </row>
    <row r="12" spans="2:3" x14ac:dyDescent="0.25">
      <c r="B12" s="16" t="s">
        <v>85</v>
      </c>
    </row>
    <row r="13" spans="2:3" x14ac:dyDescent="0.25">
      <c r="B13" s="16"/>
    </row>
    <row r="14" spans="2:3" x14ac:dyDescent="0.25">
      <c r="B14" s="16" t="s">
        <v>86</v>
      </c>
    </row>
    <row r="15" spans="2:3" x14ac:dyDescent="0.25">
      <c r="B15" s="16"/>
    </row>
    <row r="16" spans="2:3" x14ac:dyDescent="0.25">
      <c r="B16" s="16" t="s">
        <v>87</v>
      </c>
      <c r="C16" s="16" t="s">
        <v>88</v>
      </c>
    </row>
    <row r="17" spans="2:7" x14ac:dyDescent="0.25">
      <c r="B17" s="16"/>
      <c r="C17" s="16"/>
    </row>
    <row r="18" spans="2:7" x14ac:dyDescent="0.25">
      <c r="B18" s="16" t="s">
        <v>89</v>
      </c>
    </row>
    <row r="21" spans="2:7" x14ac:dyDescent="0.25">
      <c r="B21" s="21" t="s">
        <v>90</v>
      </c>
      <c r="C21" s="16"/>
    </row>
    <row r="22" spans="2:7" x14ac:dyDescent="0.25">
      <c r="B22" t="s">
        <v>91</v>
      </c>
    </row>
    <row r="23" spans="2:7" ht="15.75" thickBot="1" x14ac:dyDescent="0.3"/>
    <row r="24" spans="2:7" ht="15.75" thickBot="1" x14ac:dyDescent="0.3">
      <c r="B24" s="6" t="s">
        <v>93</v>
      </c>
      <c r="C24" s="290">
        <f>C26+C27+(0.5*(C29-C30))+(0.5*(C27-C28))</f>
        <v>7.0000000000000007E-2</v>
      </c>
    </row>
    <row r="25" spans="2:7" x14ac:dyDescent="0.25">
      <c r="B25" s="9"/>
      <c r="C25" s="291"/>
    </row>
    <row r="26" spans="2:7" x14ac:dyDescent="0.25">
      <c r="B26" s="9" t="s">
        <v>94</v>
      </c>
      <c r="C26" s="171">
        <v>0.03</v>
      </c>
    </row>
    <row r="27" spans="2:7" x14ac:dyDescent="0.25">
      <c r="B27" s="9" t="s">
        <v>95</v>
      </c>
      <c r="C27" s="154">
        <v>0.04</v>
      </c>
      <c r="E27" s="130" t="s">
        <v>92</v>
      </c>
      <c r="F27" s="24">
        <f>C26+C27+(0.5*(C29-C30))+(0.5*(C27-C28))</f>
        <v>7.0000000000000007E-2</v>
      </c>
      <c r="G27" s="18"/>
    </row>
    <row r="28" spans="2:7" x14ac:dyDescent="0.25">
      <c r="B28" s="22" t="s">
        <v>96</v>
      </c>
      <c r="C28" s="154">
        <v>0.02</v>
      </c>
    </row>
    <row r="29" spans="2:7" x14ac:dyDescent="0.25">
      <c r="B29" s="9" t="s">
        <v>97</v>
      </c>
      <c r="C29" s="154">
        <v>0</v>
      </c>
      <c r="E29" s="23"/>
    </row>
    <row r="30" spans="2:7" ht="15.75" thickBot="1" x14ac:dyDescent="0.3">
      <c r="B30" s="12" t="s">
        <v>98</v>
      </c>
      <c r="C30" s="155">
        <v>0.02</v>
      </c>
    </row>
    <row r="34" spans="2:3" x14ac:dyDescent="0.25">
      <c r="B34" s="16" t="s">
        <v>99</v>
      </c>
      <c r="C34" s="16" t="s">
        <v>100</v>
      </c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135"/>
  <sheetViews>
    <sheetView topLeftCell="A115" workbookViewId="0">
      <selection activeCell="I105" sqref="I105"/>
    </sheetView>
  </sheetViews>
  <sheetFormatPr defaultRowHeight="15" x14ac:dyDescent="0.25"/>
  <cols>
    <col min="2" max="2" width="37.5703125" customWidth="1"/>
    <col min="3" max="3" width="17" customWidth="1"/>
    <col min="4" max="4" width="19.140625" customWidth="1"/>
  </cols>
  <sheetData>
    <row r="2" spans="1:21" x14ac:dyDescent="0.25">
      <c r="B2" s="25" t="s">
        <v>123</v>
      </c>
    </row>
    <row r="3" spans="1:21" ht="15.75" thickBot="1" x14ac:dyDescent="0.3">
      <c r="Q3" s="64"/>
    </row>
    <row r="4" spans="1:21" ht="15.75" thickBot="1" x14ac:dyDescent="0.3">
      <c r="B4" s="160">
        <f>B6+B8+B10+B12</f>
        <v>0.08</v>
      </c>
      <c r="D4" t="s">
        <v>124</v>
      </c>
    </row>
    <row r="5" spans="1:21" ht="15.75" thickBot="1" x14ac:dyDescent="0.3">
      <c r="B5" s="42"/>
    </row>
    <row r="6" spans="1:21" x14ac:dyDescent="0.25">
      <c r="B6" s="156">
        <v>0.05</v>
      </c>
      <c r="D6" t="s">
        <v>125</v>
      </c>
      <c r="E6" t="s">
        <v>126</v>
      </c>
    </row>
    <row r="7" spans="1:21" x14ac:dyDescent="0.25">
      <c r="B7" s="157"/>
    </row>
    <row r="8" spans="1:21" x14ac:dyDescent="0.25">
      <c r="B8" s="158">
        <v>0.01</v>
      </c>
      <c r="D8" t="s">
        <v>127</v>
      </c>
      <c r="E8" t="s">
        <v>128</v>
      </c>
    </row>
    <row r="9" spans="1:21" x14ac:dyDescent="0.25">
      <c r="B9" s="157"/>
    </row>
    <row r="10" spans="1:21" x14ac:dyDescent="0.25">
      <c r="B10" s="158">
        <v>0.01</v>
      </c>
      <c r="D10" t="s">
        <v>129</v>
      </c>
      <c r="E10" t="s">
        <v>130</v>
      </c>
    </row>
    <row r="11" spans="1:21" x14ac:dyDescent="0.25">
      <c r="B11" s="157"/>
      <c r="E11" t="s">
        <v>131</v>
      </c>
      <c r="N11" s="15" t="s">
        <v>133</v>
      </c>
    </row>
    <row r="12" spans="1:21" ht="15.75" thickBot="1" x14ac:dyDescent="0.3">
      <c r="B12" s="159">
        <v>0.01</v>
      </c>
      <c r="D12" t="s">
        <v>132</v>
      </c>
      <c r="E12" t="s">
        <v>134</v>
      </c>
    </row>
    <row r="15" spans="1:21" ht="15.75" thickBot="1" x14ac:dyDescent="0.3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</row>
    <row r="17" spans="1:16" x14ac:dyDescent="0.25">
      <c r="P17" s="64"/>
    </row>
    <row r="18" spans="1:16" x14ac:dyDescent="0.25">
      <c r="B18" s="25" t="s">
        <v>103</v>
      </c>
    </row>
    <row r="20" spans="1:16" ht="15.75" thickBot="1" x14ac:dyDescent="0.3"/>
    <row r="21" spans="1:16" ht="15.75" thickBot="1" x14ac:dyDescent="0.3">
      <c r="B21" s="162">
        <f>B23+B25+B27</f>
        <v>9.0000000000000011E-2</v>
      </c>
    </row>
    <row r="22" spans="1:16" ht="15.75" thickBot="1" x14ac:dyDescent="0.3">
      <c r="B22" s="153"/>
    </row>
    <row r="23" spans="1:16" ht="15.75" x14ac:dyDescent="0.25">
      <c r="B23" s="163">
        <f>C31-C35</f>
        <v>1.6E-2</v>
      </c>
      <c r="D23" s="26" t="s">
        <v>105</v>
      </c>
      <c r="H23" s="27" t="s">
        <v>106</v>
      </c>
    </row>
    <row r="24" spans="1:16" x14ac:dyDescent="0.25">
      <c r="B24" s="84"/>
    </row>
    <row r="25" spans="1:16" ht="15.75" x14ac:dyDescent="0.25">
      <c r="B25" s="164">
        <f>C32+C33</f>
        <v>7.1000000000000008E-2</v>
      </c>
      <c r="D25" s="26" t="s">
        <v>107</v>
      </c>
      <c r="L25" s="27" t="s">
        <v>108</v>
      </c>
    </row>
    <row r="26" spans="1:16" x14ac:dyDescent="0.25">
      <c r="B26" s="84"/>
    </row>
    <row r="27" spans="1:16" ht="16.5" thickBot="1" x14ac:dyDescent="0.3">
      <c r="B27" s="165">
        <f>C36</f>
        <v>3.0000000000000001E-3</v>
      </c>
      <c r="D27" s="26" t="s">
        <v>109</v>
      </c>
      <c r="L27" s="27" t="s">
        <v>110</v>
      </c>
    </row>
    <row r="30" spans="1:16" x14ac:dyDescent="0.25">
      <c r="A30" s="10"/>
      <c r="B30" s="10"/>
      <c r="C30" s="10"/>
    </row>
    <row r="31" spans="1:16" x14ac:dyDescent="0.25">
      <c r="A31" s="10"/>
      <c r="B31" s="85" t="s">
        <v>637</v>
      </c>
      <c r="C31" s="161">
        <v>2.1000000000000001E-2</v>
      </c>
    </row>
    <row r="32" spans="1:16" x14ac:dyDescent="0.25">
      <c r="A32" s="10"/>
      <c r="B32" s="85" t="s">
        <v>640</v>
      </c>
      <c r="C32" s="161">
        <v>0.04</v>
      </c>
    </row>
    <row r="33" spans="1:21" x14ac:dyDescent="0.25">
      <c r="A33" s="10"/>
      <c r="B33" s="85" t="s">
        <v>641</v>
      </c>
      <c r="C33" s="161">
        <v>3.1E-2</v>
      </c>
    </row>
    <row r="34" spans="1:21" x14ac:dyDescent="0.25">
      <c r="A34" s="10"/>
      <c r="B34" s="86" t="s">
        <v>638</v>
      </c>
      <c r="C34" s="161">
        <f>C32+C33</f>
        <v>7.1000000000000008E-2</v>
      </c>
    </row>
    <row r="35" spans="1:21" x14ac:dyDescent="0.25">
      <c r="A35" s="10"/>
      <c r="B35" s="86" t="s">
        <v>639</v>
      </c>
      <c r="C35" s="161">
        <v>5.0000000000000001E-3</v>
      </c>
      <c r="E35" s="16" t="s">
        <v>104</v>
      </c>
    </row>
    <row r="36" spans="1:21" x14ac:dyDescent="0.25">
      <c r="A36" s="10"/>
      <c r="B36" s="86" t="s">
        <v>642</v>
      </c>
      <c r="C36" s="161">
        <v>3.0000000000000001E-3</v>
      </c>
    </row>
    <row r="37" spans="1:21" ht="15.75" x14ac:dyDescent="0.25">
      <c r="A37" s="10"/>
      <c r="B37" s="10"/>
      <c r="C37" s="10"/>
      <c r="O37" s="27"/>
    </row>
    <row r="38" spans="1:21" ht="15.75" thickBot="1" x14ac:dyDescent="0.3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</row>
    <row r="40" spans="1:21" x14ac:dyDescent="0.25">
      <c r="B40" s="18" t="s">
        <v>643</v>
      </c>
    </row>
    <row r="41" spans="1:21" ht="15.75" thickBot="1" x14ac:dyDescent="0.3"/>
    <row r="42" spans="1:21" ht="18.75" thickBot="1" x14ac:dyDescent="0.3">
      <c r="B42" s="166">
        <f>B45+B46*(B47-B45)</f>
        <v>8.5999999999999993E-2</v>
      </c>
      <c r="C42" t="s">
        <v>647</v>
      </c>
      <c r="E42" s="16" t="s">
        <v>113</v>
      </c>
    </row>
    <row r="43" spans="1:21" x14ac:dyDescent="0.25">
      <c r="B43" s="42"/>
    </row>
    <row r="44" spans="1:21" x14ac:dyDescent="0.25">
      <c r="B44" s="42"/>
      <c r="E44" s="16" t="s">
        <v>114</v>
      </c>
    </row>
    <row r="45" spans="1:21" x14ac:dyDescent="0.25">
      <c r="B45" s="161">
        <v>0.05</v>
      </c>
      <c r="C45" t="s">
        <v>644</v>
      </c>
    </row>
    <row r="46" spans="1:21" x14ac:dyDescent="0.25">
      <c r="B46" s="167">
        <v>1.2</v>
      </c>
      <c r="C46" t="s">
        <v>645</v>
      </c>
    </row>
    <row r="47" spans="1:21" x14ac:dyDescent="0.25">
      <c r="B47" s="161">
        <v>0.08</v>
      </c>
      <c r="C47" t="s">
        <v>646</v>
      </c>
    </row>
    <row r="48" spans="1:21" x14ac:dyDescent="0.25">
      <c r="B48" s="42"/>
    </row>
    <row r="50" spans="2:17" x14ac:dyDescent="0.25">
      <c r="B50" s="25" t="s">
        <v>111</v>
      </c>
      <c r="C50" t="s">
        <v>112</v>
      </c>
    </row>
    <row r="54" spans="2:17" x14ac:dyDescent="0.25">
      <c r="C54" t="s">
        <v>648</v>
      </c>
      <c r="D54" t="s">
        <v>649</v>
      </c>
    </row>
    <row r="56" spans="2:17" x14ac:dyDescent="0.25">
      <c r="B56" s="51" t="s">
        <v>650</v>
      </c>
      <c r="C56" s="168">
        <v>0.28999999999999998</v>
      </c>
      <c r="D56" s="169">
        <v>0.4</v>
      </c>
    </row>
    <row r="57" spans="2:17" x14ac:dyDescent="0.25">
      <c r="B57" s="51" t="s">
        <v>651</v>
      </c>
      <c r="C57" s="170">
        <v>0.17</v>
      </c>
      <c r="D57" s="170">
        <v>0.28000000000000003</v>
      </c>
    </row>
    <row r="58" spans="2:17" x14ac:dyDescent="0.25">
      <c r="B58" s="51" t="s">
        <v>652</v>
      </c>
      <c r="C58" s="168">
        <v>0.82</v>
      </c>
      <c r="D58" s="168">
        <v>0.63</v>
      </c>
    </row>
    <row r="59" spans="2:17" x14ac:dyDescent="0.25">
      <c r="B59" s="51" t="s">
        <v>653</v>
      </c>
      <c r="C59" s="170">
        <v>0.8</v>
      </c>
      <c r="D59" s="170">
        <v>0.65</v>
      </c>
      <c r="Q59" s="64"/>
    </row>
    <row r="60" spans="2:17" x14ac:dyDescent="0.25">
      <c r="B60" s="51" t="s">
        <v>654</v>
      </c>
      <c r="C60" s="170">
        <v>0</v>
      </c>
      <c r="D60" s="171">
        <v>2.3E-2</v>
      </c>
    </row>
    <row r="61" spans="2:17" x14ac:dyDescent="0.25">
      <c r="C61" s="4"/>
      <c r="D61" s="4"/>
    </row>
    <row r="62" spans="2:17" x14ac:dyDescent="0.25">
      <c r="B62" s="51" t="s">
        <v>655</v>
      </c>
      <c r="C62" s="172">
        <v>0.05</v>
      </c>
      <c r="D62" s="4"/>
    </row>
    <row r="63" spans="2:17" x14ac:dyDescent="0.25">
      <c r="B63" s="51" t="s">
        <v>656</v>
      </c>
      <c r="C63" s="173">
        <v>0.28999999999999998</v>
      </c>
      <c r="D63" s="4"/>
    </row>
    <row r="65" spans="1:21" x14ac:dyDescent="0.25">
      <c r="B65" t="s">
        <v>658</v>
      </c>
    </row>
    <row r="66" spans="1:21" x14ac:dyDescent="0.25">
      <c r="B66" t="s">
        <v>659</v>
      </c>
      <c r="C66" s="80">
        <f>C57*$C$63*C58+C60</f>
        <v>4.0426000000000004E-2</v>
      </c>
      <c r="D66" s="80">
        <f>D57*$C$63*D58+D60</f>
        <v>7.4156E-2</v>
      </c>
    </row>
    <row r="67" spans="1:21" x14ac:dyDescent="0.25">
      <c r="C67" s="42"/>
      <c r="D67" s="42"/>
    </row>
    <row r="68" spans="1:21" x14ac:dyDescent="0.25">
      <c r="B68" t="s">
        <v>657</v>
      </c>
      <c r="C68" s="42"/>
      <c r="D68" s="42"/>
    </row>
    <row r="69" spans="1:21" x14ac:dyDescent="0.25">
      <c r="B69" t="s">
        <v>660</v>
      </c>
      <c r="C69" s="81">
        <f>C57*C56+C60</f>
        <v>4.9300000000000004E-2</v>
      </c>
      <c r="D69" s="88">
        <f>D57*D56+D60</f>
        <v>0.13500000000000001</v>
      </c>
    </row>
    <row r="70" spans="1:21" ht="15.75" thickBot="1" x14ac:dyDescent="0.3"/>
    <row r="71" spans="1:21" x14ac:dyDescent="0.25">
      <c r="B71" s="6" t="s">
        <v>661</v>
      </c>
      <c r="C71" s="89">
        <f>C66*C$59+C69*(1-C$59)</f>
        <v>4.2200800000000004E-2</v>
      </c>
      <c r="D71" s="90">
        <f>D66*D$59+D69*(1-D$59)</f>
        <v>9.5451399999999992E-2</v>
      </c>
    </row>
    <row r="72" spans="1:21" ht="15.75" thickBot="1" x14ac:dyDescent="0.3">
      <c r="B72" s="12" t="s">
        <v>662</v>
      </c>
      <c r="C72" s="91">
        <f>C71+$C$62</f>
        <v>9.2200799999999999E-2</v>
      </c>
      <c r="D72" s="92">
        <f>D71+$C$62</f>
        <v>0.14545140000000001</v>
      </c>
    </row>
    <row r="73" spans="1:21" ht="15.75" thickBot="1" x14ac:dyDescent="0.3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</row>
    <row r="75" spans="1:21" x14ac:dyDescent="0.25">
      <c r="B75" s="25" t="s">
        <v>115</v>
      </c>
    </row>
    <row r="76" spans="1:21" x14ac:dyDescent="0.25">
      <c r="I76" s="16" t="s">
        <v>117</v>
      </c>
    </row>
    <row r="77" spans="1:21" ht="15.75" thickBot="1" x14ac:dyDescent="0.3">
      <c r="I77" s="16" t="s">
        <v>118</v>
      </c>
    </row>
    <row r="78" spans="1:21" x14ac:dyDescent="0.25">
      <c r="B78" s="6" t="s">
        <v>116</v>
      </c>
      <c r="C78" s="174">
        <v>0.04</v>
      </c>
      <c r="I78" s="16" t="s">
        <v>121</v>
      </c>
    </row>
    <row r="79" spans="1:21" x14ac:dyDescent="0.25">
      <c r="B79" s="9"/>
      <c r="C79" s="11"/>
      <c r="I79" t="s">
        <v>663</v>
      </c>
    </row>
    <row r="80" spans="1:21" x14ac:dyDescent="0.25">
      <c r="B80" s="9" t="s">
        <v>671</v>
      </c>
      <c r="C80" s="182">
        <f>D117</f>
        <v>29640</v>
      </c>
      <c r="I80" t="s">
        <v>664</v>
      </c>
    </row>
    <row r="81" spans="2:14" x14ac:dyDescent="0.25">
      <c r="B81" s="9"/>
      <c r="C81" s="11"/>
    </row>
    <row r="82" spans="2:14" x14ac:dyDescent="0.25">
      <c r="B82" s="9" t="s">
        <v>672</v>
      </c>
      <c r="C82" s="11"/>
      <c r="I82" s="16" t="s">
        <v>120</v>
      </c>
    </row>
    <row r="83" spans="2:14" x14ac:dyDescent="0.25">
      <c r="B83" s="9"/>
      <c r="C83" s="11"/>
      <c r="I83" s="16" t="s">
        <v>119</v>
      </c>
    </row>
    <row r="84" spans="2:14" x14ac:dyDescent="0.25">
      <c r="B84" s="9" t="s">
        <v>673</v>
      </c>
      <c r="C84" s="11"/>
      <c r="I84" s="16" t="s">
        <v>122</v>
      </c>
    </row>
    <row r="85" spans="2:14" x14ac:dyDescent="0.25">
      <c r="B85" s="9"/>
      <c r="C85" s="11"/>
    </row>
    <row r="86" spans="2:14" ht="18" thickBot="1" x14ac:dyDescent="0.45">
      <c r="B86" s="12" t="s">
        <v>694</v>
      </c>
      <c r="C86" s="181">
        <f>C80/C78</f>
        <v>741000</v>
      </c>
      <c r="I86" t="s">
        <v>665</v>
      </c>
      <c r="J86" s="28" t="s">
        <v>666</v>
      </c>
      <c r="K86" s="15" t="s">
        <v>636</v>
      </c>
      <c r="L86" s="69" t="s">
        <v>666</v>
      </c>
      <c r="M86" s="93" t="s">
        <v>636</v>
      </c>
      <c r="N86" s="69" t="s">
        <v>667</v>
      </c>
    </row>
    <row r="87" spans="2:14" x14ac:dyDescent="0.25">
      <c r="J87" t="s">
        <v>668</v>
      </c>
      <c r="L87" t="s">
        <v>669</v>
      </c>
      <c r="N87" t="s">
        <v>670</v>
      </c>
    </row>
    <row r="89" spans="2:14" x14ac:dyDescent="0.25">
      <c r="C89" t="s">
        <v>692</v>
      </c>
      <c r="D89" t="s">
        <v>693</v>
      </c>
    </row>
    <row r="90" spans="2:14" x14ac:dyDescent="0.25">
      <c r="B90" t="s">
        <v>691</v>
      </c>
    </row>
    <row r="91" spans="2:14" x14ac:dyDescent="0.25">
      <c r="B91" t="s">
        <v>674</v>
      </c>
      <c r="C91" s="177">
        <v>4000</v>
      </c>
      <c r="D91">
        <f>C91*12</f>
        <v>48000</v>
      </c>
    </row>
    <row r="92" spans="2:14" x14ac:dyDescent="0.25">
      <c r="K92" s="16"/>
    </row>
    <row r="94" spans="2:14" x14ac:dyDescent="0.25">
      <c r="B94" t="s">
        <v>675</v>
      </c>
    </row>
    <row r="96" spans="2:14" x14ac:dyDescent="0.25">
      <c r="B96" s="94" t="s">
        <v>676</v>
      </c>
      <c r="C96" s="175">
        <v>50</v>
      </c>
    </row>
    <row r="97" spans="2:3" x14ac:dyDescent="0.25">
      <c r="B97" s="94" t="s">
        <v>677</v>
      </c>
      <c r="C97" s="175">
        <v>300</v>
      </c>
    </row>
    <row r="98" spans="2:3" x14ac:dyDescent="0.25">
      <c r="B98" s="94" t="s">
        <v>678</v>
      </c>
      <c r="C98" s="175">
        <v>0</v>
      </c>
    </row>
    <row r="99" spans="2:3" x14ac:dyDescent="0.25">
      <c r="B99" s="94" t="s">
        <v>679</v>
      </c>
      <c r="C99" s="175">
        <v>30</v>
      </c>
    </row>
    <row r="100" spans="2:3" x14ac:dyDescent="0.25">
      <c r="B100" s="94" t="s">
        <v>680</v>
      </c>
      <c r="C100" s="175">
        <v>50</v>
      </c>
    </row>
    <row r="101" spans="2:3" x14ac:dyDescent="0.25">
      <c r="B101" s="94" t="s">
        <v>695</v>
      </c>
      <c r="C101" s="175">
        <f>C91*0.05</f>
        <v>200</v>
      </c>
    </row>
    <row r="102" spans="2:3" x14ac:dyDescent="0.25">
      <c r="B102" s="94" t="s">
        <v>681</v>
      </c>
      <c r="C102" s="175">
        <v>100</v>
      </c>
    </row>
    <row r="103" spans="2:3" x14ac:dyDescent="0.25">
      <c r="B103" s="94"/>
      <c r="C103" s="175"/>
    </row>
    <row r="104" spans="2:3" x14ac:dyDescent="0.25">
      <c r="B104" s="94" t="s">
        <v>682</v>
      </c>
      <c r="C104" s="175">
        <v>0</v>
      </c>
    </row>
    <row r="105" spans="2:3" x14ac:dyDescent="0.25">
      <c r="B105" s="94" t="s">
        <v>683</v>
      </c>
      <c r="C105" s="175">
        <v>500</v>
      </c>
    </row>
    <row r="106" spans="2:3" x14ac:dyDescent="0.25">
      <c r="B106" s="94" t="s">
        <v>684</v>
      </c>
      <c r="C106" s="175"/>
    </row>
    <row r="107" spans="2:3" x14ac:dyDescent="0.25">
      <c r="B107" s="94" t="s">
        <v>486</v>
      </c>
      <c r="C107" s="175"/>
    </row>
    <row r="108" spans="2:3" x14ac:dyDescent="0.25">
      <c r="B108" s="95" t="s">
        <v>685</v>
      </c>
      <c r="C108" s="175">
        <v>50</v>
      </c>
    </row>
    <row r="109" spans="2:3" x14ac:dyDescent="0.25">
      <c r="B109" s="95" t="s">
        <v>686</v>
      </c>
      <c r="C109" s="175">
        <v>150</v>
      </c>
    </row>
    <row r="110" spans="2:3" x14ac:dyDescent="0.25">
      <c r="B110" s="95" t="s">
        <v>687</v>
      </c>
      <c r="C110" s="175">
        <v>100</v>
      </c>
    </row>
    <row r="111" spans="2:3" x14ac:dyDescent="0.25">
      <c r="B111" s="94"/>
      <c r="C111" s="175">
        <v>0</v>
      </c>
    </row>
    <row r="112" spans="2:3" x14ac:dyDescent="0.25">
      <c r="B112" s="94" t="s">
        <v>688</v>
      </c>
      <c r="C112" s="176"/>
    </row>
    <row r="114" spans="2:19" x14ac:dyDescent="0.25">
      <c r="B114" t="s">
        <v>689</v>
      </c>
      <c r="C114" s="183">
        <f>SUM(C96:C112)</f>
        <v>1530</v>
      </c>
      <c r="D114" s="184">
        <f>C114*12</f>
        <v>18360</v>
      </c>
    </row>
    <row r="117" spans="2:19" ht="17.25" x14ac:dyDescent="0.4">
      <c r="B117" t="s">
        <v>690</v>
      </c>
      <c r="C117" s="185">
        <f>C91-C114</f>
        <v>2470</v>
      </c>
      <c r="D117" s="185">
        <f>D91-D114</f>
        <v>29640</v>
      </c>
    </row>
    <row r="118" spans="2:19" ht="17.25" x14ac:dyDescent="0.4">
      <c r="C118" s="96"/>
      <c r="D118" s="96"/>
    </row>
    <row r="120" spans="2:19" x14ac:dyDescent="0.25"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</row>
    <row r="123" spans="2:19" x14ac:dyDescent="0.25">
      <c r="B123" t="s">
        <v>703</v>
      </c>
    </row>
    <row r="126" spans="2:19" x14ac:dyDescent="0.25">
      <c r="B126" s="42" t="s">
        <v>698</v>
      </c>
      <c r="C126" s="167">
        <v>98.162499999999994</v>
      </c>
    </row>
    <row r="127" spans="2:19" x14ac:dyDescent="0.25">
      <c r="B127" s="42" t="s">
        <v>697</v>
      </c>
      <c r="C127" s="161">
        <v>1.4999999999999999E-2</v>
      </c>
    </row>
    <row r="128" spans="2:19" x14ac:dyDescent="0.25">
      <c r="B128" s="42" t="s">
        <v>696</v>
      </c>
      <c r="C128" s="161">
        <v>1.7500000000000002E-2</v>
      </c>
    </row>
    <row r="129" spans="2:3" x14ac:dyDescent="0.25">
      <c r="B129" s="42" t="s">
        <v>699</v>
      </c>
      <c r="C129" s="161">
        <v>2.5000000000000001E-3</v>
      </c>
    </row>
    <row r="132" spans="2:3" x14ac:dyDescent="0.25">
      <c r="B132" t="s">
        <v>700</v>
      </c>
      <c r="C132" s="179">
        <f>(100-C126)/100</f>
        <v>1.8375000000000058E-2</v>
      </c>
    </row>
    <row r="133" spans="2:3" x14ac:dyDescent="0.25">
      <c r="B133" t="s">
        <v>701</v>
      </c>
      <c r="C133" s="180">
        <f>(C128+C127)/2</f>
        <v>1.6250000000000001E-2</v>
      </c>
    </row>
    <row r="134" spans="2:3" ht="15.75" thickBot="1" x14ac:dyDescent="0.3"/>
    <row r="135" spans="2:3" ht="15.75" thickBot="1" x14ac:dyDescent="0.3">
      <c r="B135" s="98" t="s">
        <v>702</v>
      </c>
      <c r="C135" s="178">
        <f>(C132-C133)/(C129)</f>
        <v>0.85000000000002296</v>
      </c>
    </row>
  </sheetData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G15"/>
  <sheetViews>
    <sheetView workbookViewId="0">
      <selection activeCell="K27" sqref="K27"/>
    </sheetView>
  </sheetViews>
  <sheetFormatPr defaultRowHeight="15" x14ac:dyDescent="0.25"/>
  <sheetData>
    <row r="3" spans="2:7" x14ac:dyDescent="0.25">
      <c r="B3" s="25" t="s">
        <v>135</v>
      </c>
    </row>
    <row r="6" spans="2:7" x14ac:dyDescent="0.25">
      <c r="B6" t="s">
        <v>136</v>
      </c>
      <c r="G6" t="s">
        <v>137</v>
      </c>
    </row>
    <row r="8" spans="2:7" x14ac:dyDescent="0.25">
      <c r="B8" t="s">
        <v>138</v>
      </c>
      <c r="G8" t="s">
        <v>144</v>
      </c>
    </row>
    <row r="9" spans="2:7" x14ac:dyDescent="0.25">
      <c r="G9" t="s">
        <v>140</v>
      </c>
    </row>
    <row r="11" spans="2:7" x14ac:dyDescent="0.25">
      <c r="B11" t="s">
        <v>139</v>
      </c>
    </row>
    <row r="13" spans="2:7" x14ac:dyDescent="0.25">
      <c r="B13" t="s">
        <v>143</v>
      </c>
      <c r="G13" t="s">
        <v>377</v>
      </c>
    </row>
    <row r="15" spans="2:7" x14ac:dyDescent="0.25">
      <c r="B15" t="s">
        <v>141</v>
      </c>
      <c r="G15" t="s">
        <v>142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Q66"/>
  <sheetViews>
    <sheetView workbookViewId="0">
      <selection activeCell="O54" sqref="O54"/>
    </sheetView>
  </sheetViews>
  <sheetFormatPr defaultRowHeight="15" x14ac:dyDescent="0.25"/>
  <cols>
    <col min="2" max="2" width="16.42578125" customWidth="1"/>
    <col min="3" max="3" width="13.28515625" customWidth="1"/>
    <col min="4" max="4" width="14.5703125" customWidth="1"/>
    <col min="5" max="5" width="10.7109375" customWidth="1"/>
    <col min="6" max="6" width="11.42578125" customWidth="1"/>
    <col min="7" max="7" width="11" customWidth="1"/>
    <col min="8" max="8" width="20.5703125" customWidth="1"/>
    <col min="9" max="9" width="29.7109375" customWidth="1"/>
  </cols>
  <sheetData>
    <row r="3" spans="2:2" x14ac:dyDescent="0.25">
      <c r="B3" t="s">
        <v>168</v>
      </c>
    </row>
    <row r="5" spans="2:2" x14ac:dyDescent="0.25">
      <c r="B5" t="s">
        <v>148</v>
      </c>
    </row>
    <row r="7" spans="2:2" x14ac:dyDescent="0.25">
      <c r="B7" t="s">
        <v>149</v>
      </c>
    </row>
    <row r="11" spans="2:2" x14ac:dyDescent="0.25">
      <c r="B11" s="16" t="s">
        <v>151</v>
      </c>
    </row>
    <row r="12" spans="2:2" x14ac:dyDescent="0.25">
      <c r="B12" s="16" t="s">
        <v>159</v>
      </c>
    </row>
    <row r="13" spans="2:2" x14ac:dyDescent="0.25">
      <c r="B13" s="16" t="s">
        <v>152</v>
      </c>
    </row>
    <row r="14" spans="2:2" x14ac:dyDescent="0.25">
      <c r="B14" s="16" t="s">
        <v>153</v>
      </c>
    </row>
    <row r="15" spans="2:2" x14ac:dyDescent="0.25">
      <c r="B15" s="16" t="s">
        <v>154</v>
      </c>
    </row>
    <row r="16" spans="2:2" x14ac:dyDescent="0.25">
      <c r="B16" s="16" t="s">
        <v>161</v>
      </c>
    </row>
    <row r="17" spans="2:9" x14ac:dyDescent="0.25">
      <c r="B17" s="16" t="s">
        <v>155</v>
      </c>
      <c r="I17" s="15" t="s">
        <v>160</v>
      </c>
    </row>
    <row r="18" spans="2:9" x14ac:dyDescent="0.25">
      <c r="B18" s="16" t="s">
        <v>156</v>
      </c>
    </row>
    <row r="22" spans="2:9" x14ac:dyDescent="0.25">
      <c r="B22" t="s">
        <v>150</v>
      </c>
    </row>
    <row r="24" spans="2:9" x14ac:dyDescent="0.25">
      <c r="B24" t="s">
        <v>157</v>
      </c>
    </row>
    <row r="25" spans="2:9" x14ac:dyDescent="0.25">
      <c r="B25" t="s">
        <v>158</v>
      </c>
    </row>
    <row r="27" spans="2:9" x14ac:dyDescent="0.25">
      <c r="B27" t="s">
        <v>162</v>
      </c>
    </row>
    <row r="28" spans="2:9" x14ac:dyDescent="0.25">
      <c r="C28" t="s">
        <v>163</v>
      </c>
    </row>
    <row r="29" spans="2:9" x14ac:dyDescent="0.25">
      <c r="C29" t="s">
        <v>164</v>
      </c>
    </row>
    <row r="30" spans="2:9" x14ac:dyDescent="0.25">
      <c r="C30" t="s">
        <v>165</v>
      </c>
    </row>
    <row r="31" spans="2:9" x14ac:dyDescent="0.25">
      <c r="C31" t="s">
        <v>166</v>
      </c>
    </row>
    <row r="32" spans="2:9" x14ac:dyDescent="0.25">
      <c r="D32" t="s">
        <v>167</v>
      </c>
    </row>
    <row r="36" spans="1:17" x14ac:dyDescent="0.25">
      <c r="B36" t="s">
        <v>169</v>
      </c>
      <c r="D36" t="s">
        <v>170</v>
      </c>
      <c r="H36" t="s">
        <v>171</v>
      </c>
    </row>
    <row r="38" spans="1:17" x14ac:dyDescent="0.25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</row>
    <row r="40" spans="1:17" x14ac:dyDescent="0.25">
      <c r="B40" s="25" t="s">
        <v>174</v>
      </c>
    </row>
    <row r="42" spans="1:17" x14ac:dyDescent="0.25">
      <c r="B42" t="s">
        <v>172</v>
      </c>
    </row>
    <row r="44" spans="1:17" x14ac:dyDescent="0.25">
      <c r="B44" t="s">
        <v>828</v>
      </c>
      <c r="H44" t="s">
        <v>827</v>
      </c>
    </row>
    <row r="48" spans="1:17" x14ac:dyDescent="0.25">
      <c r="B48" s="29" t="s">
        <v>173</v>
      </c>
      <c r="H48" s="15" t="s">
        <v>830</v>
      </c>
      <c r="O48" s="64"/>
      <c r="P48" s="64"/>
      <c r="Q48" s="64"/>
    </row>
    <row r="49" spans="1:17" x14ac:dyDescent="0.25">
      <c r="B49" s="29"/>
      <c r="J49" s="15"/>
      <c r="O49" s="64"/>
      <c r="P49" s="64"/>
      <c r="Q49" s="64"/>
    </row>
    <row r="50" spans="1:17" ht="15.75" thickBot="1" x14ac:dyDescent="0.3">
      <c r="B50" s="29" t="s">
        <v>816</v>
      </c>
      <c r="J50" s="15"/>
      <c r="O50" s="64"/>
      <c r="P50" s="64"/>
      <c r="Q50" s="64"/>
    </row>
    <row r="51" spans="1:17" x14ac:dyDescent="0.25">
      <c r="B51" s="29"/>
      <c r="C51" t="s">
        <v>820</v>
      </c>
      <c r="D51" t="s">
        <v>821</v>
      </c>
      <c r="E51" t="s">
        <v>822</v>
      </c>
      <c r="F51" t="s">
        <v>823</v>
      </c>
      <c r="G51" t="s">
        <v>824</v>
      </c>
      <c r="H51" t="s">
        <v>825</v>
      </c>
      <c r="I51" s="119" t="s">
        <v>826</v>
      </c>
      <c r="J51" s="15"/>
      <c r="O51" s="64"/>
      <c r="P51" s="64"/>
      <c r="Q51" s="64"/>
    </row>
    <row r="52" spans="1:17" x14ac:dyDescent="0.25">
      <c r="B52" s="29" t="s">
        <v>817</v>
      </c>
      <c r="C52" s="186">
        <v>0.6</v>
      </c>
      <c r="D52" s="187">
        <v>6.5000000000000002E-2</v>
      </c>
      <c r="E52" s="188">
        <v>1.3</v>
      </c>
      <c r="F52" s="191">
        <f>E52*$G$55</f>
        <v>0.156</v>
      </c>
      <c r="G52" s="191">
        <f>F52*C52</f>
        <v>9.3600000000000003E-2</v>
      </c>
      <c r="H52" s="191">
        <f>G52/$G$55</f>
        <v>0.78</v>
      </c>
      <c r="I52" s="190">
        <f>D52/F52</f>
        <v>0.41666666666666669</v>
      </c>
      <c r="J52" s="23" t="s">
        <v>829</v>
      </c>
      <c r="O52" s="64"/>
      <c r="P52" s="64"/>
      <c r="Q52" s="64"/>
    </row>
    <row r="53" spans="1:17" x14ac:dyDescent="0.25">
      <c r="B53" s="29" t="s">
        <v>818</v>
      </c>
      <c r="C53" s="186">
        <v>0.3</v>
      </c>
      <c r="D53" s="187">
        <v>3.6600000000000001E-2</v>
      </c>
      <c r="E53" s="188">
        <v>0.73199999999999998</v>
      </c>
      <c r="F53" s="191">
        <f t="shared" ref="F53:F54" si="0">E53*$G$55</f>
        <v>8.7840000000000001E-2</v>
      </c>
      <c r="G53" s="191">
        <f>F53*C53</f>
        <v>2.6352E-2</v>
      </c>
      <c r="H53" s="191">
        <f t="shared" ref="H53:H54" si="1">G53/$G$55</f>
        <v>0.21960000000000002</v>
      </c>
      <c r="I53" s="190">
        <f t="shared" ref="I53" si="2">D53/F53</f>
        <v>0.41666666666666669</v>
      </c>
      <c r="J53" s="23" t="s">
        <v>829</v>
      </c>
      <c r="O53" s="64"/>
      <c r="P53" s="64"/>
      <c r="Q53" s="64"/>
    </row>
    <row r="54" spans="1:17" ht="15.75" thickBot="1" x14ac:dyDescent="0.3">
      <c r="B54" s="29" t="s">
        <v>819</v>
      </c>
      <c r="C54" s="186">
        <v>0.1</v>
      </c>
      <c r="D54" s="187">
        <v>0</v>
      </c>
      <c r="E54" s="188">
        <v>0</v>
      </c>
      <c r="F54" s="192">
        <f t="shared" si="0"/>
        <v>0</v>
      </c>
      <c r="G54" s="192">
        <f>F54*C54</f>
        <v>0</v>
      </c>
      <c r="H54" s="192">
        <f t="shared" si="1"/>
        <v>0</v>
      </c>
      <c r="I54" s="120"/>
      <c r="J54" s="15"/>
      <c r="O54" s="64"/>
      <c r="P54" s="64"/>
      <c r="Q54" s="64"/>
    </row>
    <row r="55" spans="1:17" x14ac:dyDescent="0.25">
      <c r="B55" s="29" t="s">
        <v>514</v>
      </c>
      <c r="C55" s="3">
        <f>SUM(C52:C54)</f>
        <v>0.99999999999999989</v>
      </c>
      <c r="D55" s="73">
        <f>($C$52*D52)+($C$53*D53)+($C$54*D54)</f>
        <v>4.9979999999999997E-2</v>
      </c>
      <c r="E55" s="118">
        <f>($C$52*E52)+($C$53*E53)+($C$54*E54)</f>
        <v>0.99960000000000004</v>
      </c>
      <c r="G55" s="189">
        <v>0.12</v>
      </c>
      <c r="J55" s="15"/>
      <c r="O55" s="64"/>
      <c r="P55" s="64"/>
      <c r="Q55" s="64"/>
    </row>
    <row r="56" spans="1:17" x14ac:dyDescent="0.25">
      <c r="B56" s="29"/>
      <c r="J56" s="15"/>
      <c r="O56" s="64"/>
      <c r="P56" s="64"/>
      <c r="Q56" s="64"/>
    </row>
    <row r="58" spans="1:17" x14ac:dyDescent="0.25">
      <c r="A58" s="28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</row>
    <row r="60" spans="1:17" x14ac:dyDescent="0.25">
      <c r="B60" t="s">
        <v>175</v>
      </c>
    </row>
    <row r="62" spans="1:17" x14ac:dyDescent="0.25">
      <c r="B62" t="s">
        <v>176</v>
      </c>
    </row>
    <row r="64" spans="1:17" x14ac:dyDescent="0.25">
      <c r="B64" t="s">
        <v>177</v>
      </c>
    </row>
    <row r="66" spans="2:2" x14ac:dyDescent="0.25">
      <c r="B66" t="s">
        <v>178</v>
      </c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238"/>
  <sheetViews>
    <sheetView topLeftCell="A118" workbookViewId="0">
      <selection activeCell="Q172" sqref="Q172"/>
    </sheetView>
  </sheetViews>
  <sheetFormatPr defaultRowHeight="15" x14ac:dyDescent="0.25"/>
  <cols>
    <col min="2" max="2" width="17.28515625" customWidth="1"/>
    <col min="3" max="3" width="10.7109375" customWidth="1"/>
    <col min="4" max="4" width="21.28515625" customWidth="1"/>
    <col min="5" max="5" width="10.42578125" customWidth="1"/>
    <col min="7" max="7" width="13.5703125" customWidth="1"/>
    <col min="12" max="12" width="19.28515625" customWidth="1"/>
  </cols>
  <sheetData>
    <row r="2" spans="2:7" x14ac:dyDescent="0.25">
      <c r="B2" t="s">
        <v>193</v>
      </c>
      <c r="D2" t="s">
        <v>194</v>
      </c>
    </row>
    <row r="4" spans="2:7" ht="18" x14ac:dyDescent="0.25">
      <c r="B4" t="s">
        <v>195</v>
      </c>
      <c r="D4" s="16" t="s">
        <v>196</v>
      </c>
      <c r="E4" s="16" t="s">
        <v>197</v>
      </c>
    </row>
    <row r="6" spans="2:7" x14ac:dyDescent="0.25">
      <c r="B6" t="s">
        <v>524</v>
      </c>
      <c r="D6" s="16"/>
      <c r="E6" s="16"/>
    </row>
    <row r="7" spans="2:7" x14ac:dyDescent="0.25">
      <c r="C7" s="42" t="s">
        <v>528</v>
      </c>
      <c r="D7" s="54" t="s">
        <v>527</v>
      </c>
      <c r="E7" s="16" t="s">
        <v>534</v>
      </c>
      <c r="G7" t="s">
        <v>531</v>
      </c>
    </row>
    <row r="8" spans="2:7" x14ac:dyDescent="0.25">
      <c r="B8" s="51" t="s">
        <v>520</v>
      </c>
      <c r="C8" s="167">
        <v>52.14</v>
      </c>
      <c r="D8" s="62">
        <f>C10+C11-C9</f>
        <v>52.14</v>
      </c>
      <c r="E8" s="61">
        <f>D10+D11-D9</f>
        <v>52.143610867294832</v>
      </c>
      <c r="G8" t="s">
        <v>532</v>
      </c>
    </row>
    <row r="9" spans="2:7" x14ac:dyDescent="0.25">
      <c r="B9" s="51" t="s">
        <v>521</v>
      </c>
      <c r="C9" s="167">
        <v>3.87</v>
      </c>
      <c r="D9" s="62">
        <f>C10+C11-C8</f>
        <v>3.8699999999999974</v>
      </c>
      <c r="E9" s="61">
        <f>D10+D11-D8</f>
        <v>3.8736108672948291</v>
      </c>
    </row>
    <row r="10" spans="2:7" x14ac:dyDescent="0.25">
      <c r="B10" s="51" t="s">
        <v>522</v>
      </c>
      <c r="C10" s="167">
        <v>6.26</v>
      </c>
      <c r="D10" s="62">
        <f>C8+C9-C11</f>
        <v>6.259999999999998</v>
      </c>
      <c r="E10" s="61">
        <f>D8+D9-D11</f>
        <v>6.2563891327051664</v>
      </c>
      <c r="G10" t="s">
        <v>533</v>
      </c>
    </row>
    <row r="11" spans="2:7" x14ac:dyDescent="0.25">
      <c r="B11" s="51" t="s">
        <v>523</v>
      </c>
      <c r="C11" s="167">
        <v>49.75</v>
      </c>
      <c r="D11" s="63">
        <f>$C$12/((1+C13)^(C14/365))</f>
        <v>49.753610867294832</v>
      </c>
      <c r="E11" s="60">
        <f>D8+D9-D10</f>
        <v>49.75</v>
      </c>
    </row>
    <row r="12" spans="2:7" x14ac:dyDescent="0.25">
      <c r="B12" s="51" t="s">
        <v>529</v>
      </c>
      <c r="C12" s="193">
        <v>50</v>
      </c>
      <c r="D12" s="63">
        <f>(C8+C9-C10)*(1+$C$13)^($C$14/365)</f>
        <v>49.996371251018878</v>
      </c>
      <c r="E12" s="61">
        <f>(D8+D9-D10)*(1+$C$13)^($C$14/365)</f>
        <v>49.996371251018878</v>
      </c>
    </row>
    <row r="13" spans="2:7" x14ac:dyDescent="0.25">
      <c r="B13" s="52" t="s">
        <v>525</v>
      </c>
      <c r="C13" s="194">
        <v>0.03</v>
      </c>
      <c r="D13" s="55" t="s">
        <v>530</v>
      </c>
      <c r="E13" s="16"/>
    </row>
    <row r="14" spans="2:7" x14ac:dyDescent="0.25">
      <c r="B14" s="52" t="s">
        <v>526</v>
      </c>
      <c r="C14" s="193">
        <v>61</v>
      </c>
      <c r="D14" s="56" t="s">
        <v>530</v>
      </c>
    </row>
    <row r="15" spans="2:7" x14ac:dyDescent="0.25">
      <c r="B15" s="53"/>
    </row>
    <row r="16" spans="2:7" x14ac:dyDescent="0.25">
      <c r="B16" t="s">
        <v>198</v>
      </c>
    </row>
    <row r="17" spans="2:15" x14ac:dyDescent="0.25"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</row>
    <row r="19" spans="2:15" x14ac:dyDescent="0.25">
      <c r="B19" s="16" t="s">
        <v>199</v>
      </c>
    </row>
    <row r="20" spans="2:15" x14ac:dyDescent="0.25">
      <c r="B20" s="16"/>
    </row>
    <row r="21" spans="2:15" x14ac:dyDescent="0.25">
      <c r="B21" s="51" t="s">
        <v>635</v>
      </c>
      <c r="C21" s="167">
        <v>52.14</v>
      </c>
      <c r="E21" s="16" t="s">
        <v>207</v>
      </c>
      <c r="I21" t="s">
        <v>208</v>
      </c>
      <c r="N21" t="s">
        <v>209</v>
      </c>
    </row>
    <row r="22" spans="2:15" x14ac:dyDescent="0.25">
      <c r="B22" s="51" t="s">
        <v>535</v>
      </c>
      <c r="C22" s="167">
        <v>55</v>
      </c>
    </row>
    <row r="23" spans="2:15" x14ac:dyDescent="0.25">
      <c r="B23" s="51" t="s">
        <v>521</v>
      </c>
      <c r="C23" s="167">
        <v>3.87</v>
      </c>
    </row>
    <row r="24" spans="2:15" x14ac:dyDescent="0.25">
      <c r="B24" s="51" t="s">
        <v>522</v>
      </c>
      <c r="C24" s="167">
        <v>2.52</v>
      </c>
    </row>
    <row r="25" spans="2:15" x14ac:dyDescent="0.25">
      <c r="B25" s="16" t="s">
        <v>536</v>
      </c>
      <c r="C25" s="195">
        <f>C21-C24</f>
        <v>49.62</v>
      </c>
    </row>
    <row r="26" spans="2:15" x14ac:dyDescent="0.25">
      <c r="B26" s="16" t="s">
        <v>537</v>
      </c>
      <c r="C26" s="195">
        <f>$C$22-C21+$C$24</f>
        <v>5.379999999999999</v>
      </c>
    </row>
    <row r="27" spans="2:15" x14ac:dyDescent="0.25">
      <c r="B27" s="16" t="s">
        <v>538</v>
      </c>
      <c r="C27" s="195">
        <f>-C21+C24</f>
        <v>-49.62</v>
      </c>
    </row>
    <row r="28" spans="2:15" x14ac:dyDescent="0.25">
      <c r="B28" s="16"/>
    </row>
    <row r="29" spans="2:15" x14ac:dyDescent="0.25">
      <c r="B29" s="16"/>
    </row>
    <row r="30" spans="2:15" x14ac:dyDescent="0.25">
      <c r="B30" s="54" t="s">
        <v>632</v>
      </c>
      <c r="C30" s="65" t="s">
        <v>633</v>
      </c>
    </row>
    <row r="31" spans="2:15" x14ac:dyDescent="0.25">
      <c r="B31" s="54"/>
      <c r="C31" s="65"/>
    </row>
    <row r="32" spans="2:15" x14ac:dyDescent="0.25">
      <c r="B32" s="83">
        <v>100</v>
      </c>
      <c r="C32" s="65">
        <f>MAX(0,B32-$C$22)+$C$24+B32-$C$21</f>
        <v>95.38000000000001</v>
      </c>
    </row>
    <row r="33" spans="2:3" x14ac:dyDescent="0.25">
      <c r="B33" s="83">
        <v>75</v>
      </c>
      <c r="C33" s="65">
        <f t="shared" ref="C33:C44" si="0">MAX(0,B33-$C$22)+$C$24+B33-$C$21</f>
        <v>45.379999999999995</v>
      </c>
    </row>
    <row r="34" spans="2:3" x14ac:dyDescent="0.25">
      <c r="B34" s="83">
        <v>70</v>
      </c>
      <c r="C34" s="65">
        <f t="shared" si="0"/>
        <v>35.379999999999995</v>
      </c>
    </row>
    <row r="35" spans="2:3" x14ac:dyDescent="0.25">
      <c r="B35" s="83">
        <v>65</v>
      </c>
      <c r="C35" s="65">
        <f t="shared" si="0"/>
        <v>25.379999999999995</v>
      </c>
    </row>
    <row r="36" spans="2:3" x14ac:dyDescent="0.25">
      <c r="B36" s="83">
        <v>64.91</v>
      </c>
      <c r="C36" s="65">
        <f t="shared" si="0"/>
        <v>25.199999999999989</v>
      </c>
    </row>
    <row r="37" spans="2:3" x14ac:dyDescent="0.25">
      <c r="B37" s="83">
        <v>60</v>
      </c>
      <c r="C37" s="65">
        <f t="shared" si="0"/>
        <v>15.379999999999995</v>
      </c>
    </row>
    <row r="38" spans="2:3" x14ac:dyDescent="0.25">
      <c r="B38" s="83">
        <v>55</v>
      </c>
      <c r="C38" s="65">
        <f t="shared" si="0"/>
        <v>5.3800000000000026</v>
      </c>
    </row>
    <row r="39" spans="2:3" x14ac:dyDescent="0.25">
      <c r="B39" s="83">
        <v>52.5</v>
      </c>
      <c r="C39" s="65">
        <f t="shared" si="0"/>
        <v>2.8800000000000026</v>
      </c>
    </row>
    <row r="40" spans="2:3" x14ac:dyDescent="0.25">
      <c r="B40" s="83">
        <v>50</v>
      </c>
      <c r="C40" s="65">
        <f t="shared" si="0"/>
        <v>0.38000000000000256</v>
      </c>
    </row>
    <row r="41" spans="2:3" x14ac:dyDescent="0.25">
      <c r="B41" s="83">
        <v>45</v>
      </c>
      <c r="C41" s="65">
        <f t="shared" si="0"/>
        <v>-4.6199999999999974</v>
      </c>
    </row>
    <row r="42" spans="2:3" x14ac:dyDescent="0.25">
      <c r="B42" s="83">
        <v>40</v>
      </c>
      <c r="C42" s="65">
        <f t="shared" si="0"/>
        <v>-9.6199999999999974</v>
      </c>
    </row>
    <row r="43" spans="2:3" x14ac:dyDescent="0.25">
      <c r="B43" s="83">
        <v>35</v>
      </c>
      <c r="C43" s="65">
        <f t="shared" si="0"/>
        <v>-14.619999999999997</v>
      </c>
    </row>
    <row r="44" spans="2:3" x14ac:dyDescent="0.25">
      <c r="B44" s="83">
        <v>30</v>
      </c>
      <c r="C44" s="65">
        <f t="shared" si="0"/>
        <v>-19.619999999999997</v>
      </c>
    </row>
    <row r="45" spans="2:3" x14ac:dyDescent="0.25">
      <c r="B45" s="83">
        <v>0</v>
      </c>
      <c r="C45" s="65">
        <f>MAX(0,B45-$C$22)+$C$24+B45-$C$21</f>
        <v>-49.62</v>
      </c>
    </row>
    <row r="46" spans="2:3" x14ac:dyDescent="0.25">
      <c r="B46" s="16"/>
    </row>
    <row r="47" spans="2:3" x14ac:dyDescent="0.25">
      <c r="B47" s="16" t="s">
        <v>200</v>
      </c>
    </row>
    <row r="48" spans="2:3" x14ac:dyDescent="0.25">
      <c r="B48" s="16"/>
    </row>
    <row r="49" spans="2:3" x14ac:dyDescent="0.25">
      <c r="B49" s="51" t="s">
        <v>635</v>
      </c>
      <c r="C49" s="167">
        <v>52.14</v>
      </c>
    </row>
    <row r="50" spans="2:3" x14ac:dyDescent="0.25">
      <c r="B50" s="51" t="s">
        <v>535</v>
      </c>
      <c r="C50" s="167">
        <v>50</v>
      </c>
    </row>
    <row r="51" spans="2:3" x14ac:dyDescent="0.25">
      <c r="B51" s="51" t="s">
        <v>521</v>
      </c>
      <c r="C51" s="167">
        <v>3.87</v>
      </c>
    </row>
    <row r="52" spans="2:3" x14ac:dyDescent="0.25">
      <c r="B52" s="51" t="s">
        <v>522</v>
      </c>
      <c r="C52" s="167">
        <v>2.52</v>
      </c>
    </row>
    <row r="53" spans="2:3" x14ac:dyDescent="0.25">
      <c r="B53" s="16" t="s">
        <v>536</v>
      </c>
      <c r="C53" s="195">
        <f>C49+C51</f>
        <v>56.01</v>
      </c>
    </row>
    <row r="54" spans="2:3" x14ac:dyDescent="0.25">
      <c r="B54" s="16" t="s">
        <v>537</v>
      </c>
      <c r="C54" s="195" t="s">
        <v>539</v>
      </c>
    </row>
    <row r="55" spans="2:3" x14ac:dyDescent="0.25">
      <c r="B55" s="16" t="s">
        <v>538</v>
      </c>
      <c r="C55" s="195">
        <f>C50-C51-C49</f>
        <v>-6.009999999999998</v>
      </c>
    </row>
    <row r="56" spans="2:3" x14ac:dyDescent="0.25">
      <c r="B56" s="16"/>
      <c r="C56" s="65"/>
    </row>
    <row r="57" spans="2:3" x14ac:dyDescent="0.25">
      <c r="B57" s="16"/>
      <c r="C57" s="65"/>
    </row>
    <row r="58" spans="2:3" x14ac:dyDescent="0.25">
      <c r="B58" s="16"/>
      <c r="C58" s="65"/>
    </row>
    <row r="59" spans="2:3" x14ac:dyDescent="0.25">
      <c r="B59" s="54" t="s">
        <v>632</v>
      </c>
      <c r="C59" s="65" t="s">
        <v>633</v>
      </c>
    </row>
    <row r="60" spans="2:3" x14ac:dyDescent="0.25">
      <c r="B60" s="54"/>
      <c r="C60" s="65"/>
    </row>
    <row r="61" spans="2:3" x14ac:dyDescent="0.25">
      <c r="B61" s="196">
        <v>100</v>
      </c>
      <c r="C61" s="65">
        <f t="shared" ref="C61:C69" si="1">(B61)-$C$49-$C$51+MAX(0,$C$50-B61)</f>
        <v>43.99</v>
      </c>
    </row>
    <row r="62" spans="2:3" x14ac:dyDescent="0.25">
      <c r="B62" s="196">
        <v>75</v>
      </c>
      <c r="C62" s="65">
        <f t="shared" si="1"/>
        <v>18.989999999999998</v>
      </c>
    </row>
    <row r="63" spans="2:3" x14ac:dyDescent="0.25">
      <c r="B63" s="196">
        <v>70</v>
      </c>
      <c r="C63" s="65">
        <f t="shared" si="1"/>
        <v>13.989999999999998</v>
      </c>
    </row>
    <row r="64" spans="2:3" x14ac:dyDescent="0.25">
      <c r="B64" s="196">
        <v>65</v>
      </c>
      <c r="C64" s="65">
        <f t="shared" si="1"/>
        <v>8.9899999999999984</v>
      </c>
    </row>
    <row r="65" spans="2:15" x14ac:dyDescent="0.25">
      <c r="B65" s="196">
        <v>64.91</v>
      </c>
      <c r="C65" s="65">
        <f t="shared" si="1"/>
        <v>8.899999999999995</v>
      </c>
    </row>
    <row r="66" spans="2:15" x14ac:dyDescent="0.25">
      <c r="B66" s="196">
        <v>60</v>
      </c>
      <c r="C66" s="65">
        <f t="shared" si="1"/>
        <v>3.9899999999999993</v>
      </c>
    </row>
    <row r="67" spans="2:15" x14ac:dyDescent="0.25">
      <c r="B67" s="196">
        <v>55</v>
      </c>
      <c r="C67" s="65">
        <f t="shared" si="1"/>
        <v>-1.0100000000000007</v>
      </c>
    </row>
    <row r="68" spans="2:15" x14ac:dyDescent="0.25">
      <c r="B68" s="196">
        <v>52.5</v>
      </c>
      <c r="C68" s="65">
        <f t="shared" si="1"/>
        <v>-3.5100000000000007</v>
      </c>
    </row>
    <row r="69" spans="2:15" x14ac:dyDescent="0.25">
      <c r="B69" s="196">
        <v>50</v>
      </c>
      <c r="C69" s="65">
        <f t="shared" si="1"/>
        <v>-6.0100000000000007</v>
      </c>
    </row>
    <row r="70" spans="2:15" x14ac:dyDescent="0.25">
      <c r="B70" s="196">
        <v>45</v>
      </c>
      <c r="C70" s="65">
        <f>(B70)-$C$49-$C$51+MAX(0,$C$50-B70)</f>
        <v>-6.0100000000000016</v>
      </c>
    </row>
    <row r="71" spans="2:15" x14ac:dyDescent="0.25">
      <c r="B71" s="196">
        <v>40</v>
      </c>
      <c r="C71" s="65">
        <f t="shared" ref="C71:C74" si="2">(B71)-$C$49-$C$51+MAX(0,$C$50-B71)</f>
        <v>-6.0100000000000016</v>
      </c>
    </row>
    <row r="72" spans="2:15" x14ac:dyDescent="0.25">
      <c r="B72" s="196">
        <v>35</v>
      </c>
      <c r="C72" s="65">
        <f t="shared" si="2"/>
        <v>-6.0100000000000016</v>
      </c>
    </row>
    <row r="73" spans="2:15" x14ac:dyDescent="0.25">
      <c r="B73" s="196">
        <v>30</v>
      </c>
      <c r="C73" s="65">
        <f t="shared" si="2"/>
        <v>-6.0100000000000016</v>
      </c>
    </row>
    <row r="74" spans="2:15" x14ac:dyDescent="0.25">
      <c r="B74" s="196">
        <v>0</v>
      </c>
      <c r="C74" s="65">
        <f t="shared" si="2"/>
        <v>-6.009999999999998</v>
      </c>
    </row>
    <row r="75" spans="2:15" x14ac:dyDescent="0.25">
      <c r="B75" s="16"/>
      <c r="C75" s="65"/>
    </row>
    <row r="76" spans="2:15" x14ac:dyDescent="0.25"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</row>
    <row r="78" spans="2:15" x14ac:dyDescent="0.25">
      <c r="B78" s="21" t="s">
        <v>201</v>
      </c>
    </row>
    <row r="79" spans="2:15" x14ac:dyDescent="0.25">
      <c r="B79" s="21"/>
      <c r="F79" s="16"/>
    </row>
    <row r="80" spans="2:15" x14ac:dyDescent="0.25">
      <c r="B80" s="21"/>
      <c r="C80" s="16" t="s">
        <v>205</v>
      </c>
      <c r="F80" s="16"/>
      <c r="M80" s="16" t="s">
        <v>204</v>
      </c>
    </row>
    <row r="81" spans="2:6" x14ac:dyDescent="0.25">
      <c r="B81" s="21"/>
      <c r="C81" s="16" t="s">
        <v>202</v>
      </c>
      <c r="F81" s="16" t="s">
        <v>203</v>
      </c>
    </row>
    <row r="82" spans="2:6" x14ac:dyDescent="0.25">
      <c r="B82" s="21"/>
      <c r="C82" s="16"/>
      <c r="F82" s="16"/>
    </row>
    <row r="83" spans="2:6" x14ac:dyDescent="0.25">
      <c r="B83" s="51" t="s">
        <v>520</v>
      </c>
      <c r="C83" s="167">
        <v>52.14</v>
      </c>
      <c r="F83" s="16"/>
    </row>
    <row r="84" spans="2:6" x14ac:dyDescent="0.25">
      <c r="B84" s="51" t="s">
        <v>542</v>
      </c>
      <c r="C84" s="167">
        <v>55.87</v>
      </c>
      <c r="F84" s="16"/>
    </row>
    <row r="85" spans="2:6" x14ac:dyDescent="0.25">
      <c r="B85" s="51" t="s">
        <v>541</v>
      </c>
      <c r="C85" s="167">
        <v>4.88</v>
      </c>
      <c r="F85" s="16"/>
    </row>
    <row r="86" spans="2:6" x14ac:dyDescent="0.25">
      <c r="B86" s="51" t="s">
        <v>540</v>
      </c>
      <c r="C86" s="167">
        <v>50</v>
      </c>
      <c r="F86" s="16"/>
    </row>
    <row r="87" spans="2:6" x14ac:dyDescent="0.25">
      <c r="B87" s="51" t="s">
        <v>543</v>
      </c>
      <c r="C87" s="167">
        <v>4.88</v>
      </c>
      <c r="F87" s="16"/>
    </row>
    <row r="88" spans="2:6" x14ac:dyDescent="0.25">
      <c r="B88" s="16" t="s">
        <v>536</v>
      </c>
      <c r="C88" s="65">
        <f>$C$83+$C$85-$C$87</f>
        <v>52.14</v>
      </c>
      <c r="F88" s="16"/>
    </row>
    <row r="89" spans="2:6" x14ac:dyDescent="0.25">
      <c r="B89" s="16" t="s">
        <v>537</v>
      </c>
      <c r="C89" s="65">
        <f>$C$84-$C$83</f>
        <v>3.7299999999999969</v>
      </c>
      <c r="F89" s="16"/>
    </row>
    <row r="90" spans="2:6" x14ac:dyDescent="0.25">
      <c r="B90" s="16" t="s">
        <v>538</v>
      </c>
      <c r="C90" s="65">
        <f>$C$83-$C$86</f>
        <v>2.1400000000000006</v>
      </c>
      <c r="F90" s="16"/>
    </row>
    <row r="91" spans="2:6" x14ac:dyDescent="0.25">
      <c r="B91" s="21"/>
      <c r="C91" s="16"/>
      <c r="F91" s="16"/>
    </row>
    <row r="92" spans="2:6" x14ac:dyDescent="0.25">
      <c r="B92" s="21"/>
      <c r="C92" s="16"/>
      <c r="F92" s="16"/>
    </row>
    <row r="93" spans="2:6" x14ac:dyDescent="0.25">
      <c r="B93" s="21"/>
      <c r="C93" s="16"/>
      <c r="F93" s="16"/>
    </row>
    <row r="94" spans="2:6" x14ac:dyDescent="0.25">
      <c r="B94" s="54" t="s">
        <v>632</v>
      </c>
      <c r="C94" s="16"/>
      <c r="F94" s="16"/>
    </row>
    <row r="95" spans="2:6" x14ac:dyDescent="0.25">
      <c r="B95" s="54"/>
      <c r="C95" s="16"/>
      <c r="F95" s="16"/>
    </row>
    <row r="96" spans="2:6" x14ac:dyDescent="0.25">
      <c r="B96" s="196">
        <v>100</v>
      </c>
      <c r="C96" s="16">
        <f t="shared" ref="C96:C99" si="3">$C$85-$C$87+B96-$C$83-MAX(0,B96-$C$84)+MAX(0,$C$86-B96)</f>
        <v>3.7299999999999969</v>
      </c>
      <c r="F96" s="16"/>
    </row>
    <row r="97" spans="2:6" x14ac:dyDescent="0.25">
      <c r="B97" s="196">
        <v>75</v>
      </c>
      <c r="C97" s="16">
        <f t="shared" si="3"/>
        <v>3.7299999999999969</v>
      </c>
      <c r="F97" s="16"/>
    </row>
    <row r="98" spans="2:6" x14ac:dyDescent="0.25">
      <c r="B98" s="196">
        <v>70</v>
      </c>
      <c r="C98" s="16">
        <f t="shared" si="3"/>
        <v>3.7299999999999969</v>
      </c>
      <c r="F98" s="16"/>
    </row>
    <row r="99" spans="2:6" x14ac:dyDescent="0.25">
      <c r="B99" s="196">
        <v>65</v>
      </c>
      <c r="C99" s="16">
        <f t="shared" si="3"/>
        <v>3.7299999999999969</v>
      </c>
      <c r="F99" s="16"/>
    </row>
    <row r="100" spans="2:6" x14ac:dyDescent="0.25">
      <c r="B100" s="196">
        <v>64.91</v>
      </c>
      <c r="C100" s="16">
        <f>$C$85-$C$87+B100-$C$83-MAX(0,B100-$C$84)+MAX(0,$C$86-B100)</f>
        <v>3.7299999999999969</v>
      </c>
      <c r="F100" s="16"/>
    </row>
    <row r="101" spans="2:6" x14ac:dyDescent="0.25">
      <c r="B101" s="196">
        <v>60</v>
      </c>
      <c r="C101" s="16">
        <f t="shared" ref="C101:C104" si="4">$C$85-$C$87+B101-$C$83-MAX(0,B101-$C$84)+MAX(0,$C$86-B101)</f>
        <v>3.7299999999999969</v>
      </c>
      <c r="F101" s="16"/>
    </row>
    <row r="102" spans="2:6" x14ac:dyDescent="0.25">
      <c r="B102" s="196">
        <v>55</v>
      </c>
      <c r="C102" s="16">
        <f t="shared" si="4"/>
        <v>2.8599999999999994</v>
      </c>
      <c r="F102" s="16"/>
    </row>
    <row r="103" spans="2:6" x14ac:dyDescent="0.25">
      <c r="B103" s="196">
        <v>52.5</v>
      </c>
      <c r="C103" s="16">
        <f t="shared" si="4"/>
        <v>0.35999999999999943</v>
      </c>
      <c r="F103" s="16"/>
    </row>
    <row r="104" spans="2:6" x14ac:dyDescent="0.25">
      <c r="B104" s="196">
        <v>50</v>
      </c>
      <c r="C104" s="16">
        <f t="shared" si="4"/>
        <v>-2.1400000000000006</v>
      </c>
      <c r="F104" s="16"/>
    </row>
    <row r="105" spans="2:6" x14ac:dyDescent="0.25">
      <c r="B105" s="196">
        <v>45</v>
      </c>
      <c r="C105" s="16">
        <f>$C$85-$C$87+B105-$C$83-MAX(0,B105-$C$84)+MAX(0,$C$86-B105)</f>
        <v>-2.1400000000000006</v>
      </c>
      <c r="F105" s="16"/>
    </row>
    <row r="106" spans="2:6" x14ac:dyDescent="0.25">
      <c r="B106" s="196">
        <v>40</v>
      </c>
      <c r="C106" s="16">
        <f t="shared" ref="C106:C109" si="5">$C$85-$C$87+B106-$C$83-MAX(0,B106-$C$84)+MAX(0,$C$86-B106)</f>
        <v>-2.1400000000000006</v>
      </c>
      <c r="F106" s="16"/>
    </row>
    <row r="107" spans="2:6" x14ac:dyDescent="0.25">
      <c r="B107" s="196">
        <v>35</v>
      </c>
      <c r="C107" s="16">
        <f t="shared" si="5"/>
        <v>-2.1400000000000006</v>
      </c>
      <c r="F107" s="16"/>
    </row>
    <row r="108" spans="2:6" x14ac:dyDescent="0.25">
      <c r="B108" s="196">
        <v>30</v>
      </c>
      <c r="C108" s="16">
        <f t="shared" si="5"/>
        <v>-2.1400000000000006</v>
      </c>
      <c r="F108" s="16"/>
    </row>
    <row r="109" spans="2:6" x14ac:dyDescent="0.25">
      <c r="B109" s="196">
        <v>0</v>
      </c>
      <c r="C109" s="16">
        <f t="shared" si="5"/>
        <v>-2.1400000000000006</v>
      </c>
      <c r="F109" s="16"/>
    </row>
    <row r="110" spans="2:6" x14ac:dyDescent="0.25">
      <c r="B110" s="21"/>
      <c r="C110" s="16"/>
      <c r="F110" s="16"/>
    </row>
    <row r="111" spans="2:6" x14ac:dyDescent="0.25">
      <c r="B111" s="21"/>
      <c r="C111" s="16"/>
      <c r="F111" s="16"/>
    </row>
    <row r="112" spans="2:6" x14ac:dyDescent="0.25">
      <c r="B112" s="21"/>
      <c r="C112" s="16"/>
      <c r="F112" s="16"/>
    </row>
    <row r="113" spans="2:14" x14ac:dyDescent="0.25">
      <c r="B113" s="21" t="s">
        <v>206</v>
      </c>
    </row>
    <row r="114" spans="2:14" x14ac:dyDescent="0.25">
      <c r="B114" s="21"/>
      <c r="C114" s="17" t="s">
        <v>555</v>
      </c>
    </row>
    <row r="115" spans="2:14" x14ac:dyDescent="0.25">
      <c r="B115" s="21"/>
      <c r="C115" s="16"/>
    </row>
    <row r="116" spans="2:14" x14ac:dyDescent="0.25">
      <c r="B116" s="16" t="s">
        <v>556</v>
      </c>
    </row>
    <row r="117" spans="2:14" x14ac:dyDescent="0.25">
      <c r="B117" s="16"/>
    </row>
    <row r="118" spans="2:14" x14ac:dyDescent="0.25">
      <c r="B118" s="16" t="s">
        <v>544</v>
      </c>
    </row>
    <row r="119" spans="2:14" x14ac:dyDescent="0.25">
      <c r="B119" s="16"/>
    </row>
    <row r="120" spans="2:14" x14ac:dyDescent="0.25">
      <c r="B120" s="16" t="s">
        <v>545</v>
      </c>
      <c r="L120" t="s">
        <v>546</v>
      </c>
    </row>
    <row r="121" spans="2:14" x14ac:dyDescent="0.25">
      <c r="B121" s="16"/>
    </row>
    <row r="122" spans="2:14" x14ac:dyDescent="0.25">
      <c r="B122" s="51" t="s">
        <v>520</v>
      </c>
      <c r="C122" s="167">
        <v>52.14</v>
      </c>
      <c r="L122" s="51" t="s">
        <v>520</v>
      </c>
      <c r="M122" s="167">
        <v>52.14</v>
      </c>
    </row>
    <row r="123" spans="2:14" x14ac:dyDescent="0.25">
      <c r="B123" s="51" t="s">
        <v>542</v>
      </c>
      <c r="C123" s="167">
        <v>52.5</v>
      </c>
      <c r="L123" s="51" t="s">
        <v>542</v>
      </c>
      <c r="M123" s="167">
        <v>52.5</v>
      </c>
    </row>
    <row r="124" spans="2:14" x14ac:dyDescent="0.25">
      <c r="B124" s="51" t="s">
        <v>541</v>
      </c>
      <c r="C124" s="167">
        <v>6.22</v>
      </c>
      <c r="L124" s="51" t="s">
        <v>541</v>
      </c>
      <c r="M124" s="167">
        <v>6.22</v>
      </c>
    </row>
    <row r="125" spans="2:14" x14ac:dyDescent="0.25">
      <c r="B125" s="51" t="s">
        <v>540</v>
      </c>
      <c r="C125" s="167">
        <v>52.5</v>
      </c>
      <c r="L125" s="51" t="s">
        <v>540</v>
      </c>
      <c r="M125" s="167">
        <v>52.5</v>
      </c>
    </row>
    <row r="126" spans="2:14" x14ac:dyDescent="0.25">
      <c r="B126" s="51" t="s">
        <v>543</v>
      </c>
      <c r="C126" s="167">
        <v>6.19</v>
      </c>
      <c r="L126" s="51" t="s">
        <v>543</v>
      </c>
      <c r="M126" s="167">
        <v>6.19</v>
      </c>
    </row>
    <row r="127" spans="2:14" x14ac:dyDescent="0.25">
      <c r="B127" s="16" t="s">
        <v>536</v>
      </c>
      <c r="C127" s="195">
        <f>+$C$124+$C$126+(MIN($C$123,$C$125))</f>
        <v>64.91</v>
      </c>
      <c r="D127" s="65">
        <f>(MIN($C$123,$C$125))-C124-C126</f>
        <v>40.090000000000003</v>
      </c>
      <c r="L127" s="16" t="s">
        <v>536</v>
      </c>
      <c r="M127" s="195">
        <f>(MIN($M$123,$M$125))-$M$124-$M$126</f>
        <v>40.090000000000003</v>
      </c>
      <c r="N127" s="65">
        <f>(MIN($M$123,$M$125))+M124+M126</f>
        <v>64.91</v>
      </c>
    </row>
    <row r="128" spans="2:14" x14ac:dyDescent="0.25">
      <c r="B128" s="16" t="s">
        <v>537</v>
      </c>
      <c r="C128" s="195" t="s">
        <v>539</v>
      </c>
      <c r="L128" s="16" t="s">
        <v>537</v>
      </c>
      <c r="M128" s="195">
        <f>M124+M126</f>
        <v>12.41</v>
      </c>
    </row>
    <row r="129" spans="2:13" x14ac:dyDescent="0.25">
      <c r="B129" s="16" t="s">
        <v>538</v>
      </c>
      <c r="C129" s="195">
        <f>-C124-C126</f>
        <v>-12.41</v>
      </c>
      <c r="L129" s="16" t="s">
        <v>538</v>
      </c>
      <c r="M129" s="195" t="s">
        <v>539</v>
      </c>
    </row>
    <row r="130" spans="2:13" x14ac:dyDescent="0.25">
      <c r="B130" s="16"/>
      <c r="C130" s="65"/>
      <c r="L130" s="16"/>
      <c r="M130" s="65"/>
    </row>
    <row r="131" spans="2:13" x14ac:dyDescent="0.25">
      <c r="B131" s="16"/>
      <c r="C131" s="65"/>
      <c r="L131" s="16"/>
      <c r="M131" s="65"/>
    </row>
    <row r="132" spans="2:13" x14ac:dyDescent="0.25">
      <c r="B132" s="16"/>
      <c r="C132" s="65"/>
      <c r="L132" s="16"/>
      <c r="M132" s="65"/>
    </row>
    <row r="133" spans="2:13" x14ac:dyDescent="0.25">
      <c r="B133" s="54" t="s">
        <v>632</v>
      </c>
      <c r="C133" s="65" t="s">
        <v>633</v>
      </c>
      <c r="L133" s="54" t="s">
        <v>632</v>
      </c>
      <c r="M133" s="65" t="s">
        <v>633</v>
      </c>
    </row>
    <row r="134" spans="2:13" x14ac:dyDescent="0.25">
      <c r="B134" s="54"/>
      <c r="C134" s="65"/>
      <c r="L134" s="54"/>
      <c r="M134" s="65"/>
    </row>
    <row r="135" spans="2:13" x14ac:dyDescent="0.25">
      <c r="B135" s="54">
        <v>100</v>
      </c>
      <c r="C135" s="65">
        <f>-$C$124-$C$126+MAX(0,$C$123-B135)+MAX(0,B135-$C$125)</f>
        <v>35.090000000000003</v>
      </c>
      <c r="L135" s="54">
        <v>100</v>
      </c>
      <c r="M135" s="65">
        <f>$M$124+$M$126+MIN(0,L135-$M$125)+MIN(0,$M$123-L135)</f>
        <v>-35.090000000000003</v>
      </c>
    </row>
    <row r="136" spans="2:13" x14ac:dyDescent="0.25">
      <c r="B136" s="54">
        <v>75</v>
      </c>
      <c r="C136" s="65">
        <f t="shared" ref="C136:C148" si="6">-$C$124-$C$126+MAX(0,$C$123-B136)+MAX(0,B136-$C$125)</f>
        <v>10.09</v>
      </c>
      <c r="L136" s="54">
        <v>75</v>
      </c>
      <c r="M136" s="65">
        <f t="shared" ref="M136:M148" si="7">$M$124+$M$126+MIN(0,L136-$M$125)+MIN(0,$M$123-L136)</f>
        <v>-10.09</v>
      </c>
    </row>
    <row r="137" spans="2:13" x14ac:dyDescent="0.25">
      <c r="B137" s="54">
        <v>70</v>
      </c>
      <c r="C137" s="65">
        <f t="shared" si="6"/>
        <v>5.09</v>
      </c>
      <c r="L137" s="54">
        <v>70</v>
      </c>
      <c r="M137" s="65">
        <f t="shared" si="7"/>
        <v>-5.09</v>
      </c>
    </row>
    <row r="138" spans="2:13" x14ac:dyDescent="0.25">
      <c r="B138" s="54">
        <v>65</v>
      </c>
      <c r="C138" s="65">
        <f t="shared" si="6"/>
        <v>8.9999999999999858E-2</v>
      </c>
      <c r="L138" s="54">
        <v>65</v>
      </c>
      <c r="M138" s="65">
        <f t="shared" si="7"/>
        <v>-8.9999999999999858E-2</v>
      </c>
    </row>
    <row r="139" spans="2:13" x14ac:dyDescent="0.25">
      <c r="B139" s="54">
        <v>64.91</v>
      </c>
      <c r="C139" s="65">
        <f t="shared" si="6"/>
        <v>0</v>
      </c>
      <c r="L139" s="54">
        <v>64.91</v>
      </c>
      <c r="M139" s="65">
        <f t="shared" si="7"/>
        <v>0</v>
      </c>
    </row>
    <row r="140" spans="2:13" x14ac:dyDescent="0.25">
      <c r="B140" s="54">
        <v>60</v>
      </c>
      <c r="C140" s="65">
        <f t="shared" si="6"/>
        <v>-4.91</v>
      </c>
      <c r="L140" s="54">
        <v>60</v>
      </c>
      <c r="M140" s="65">
        <f t="shared" si="7"/>
        <v>4.91</v>
      </c>
    </row>
    <row r="141" spans="2:13" x14ac:dyDescent="0.25">
      <c r="B141" s="54">
        <v>55</v>
      </c>
      <c r="C141" s="65">
        <f t="shared" si="6"/>
        <v>-9.91</v>
      </c>
      <c r="L141" s="54">
        <v>55</v>
      </c>
      <c r="M141" s="65">
        <f t="shared" si="7"/>
        <v>9.91</v>
      </c>
    </row>
    <row r="142" spans="2:13" x14ac:dyDescent="0.25">
      <c r="B142" s="54">
        <v>52.5</v>
      </c>
      <c r="C142" s="65">
        <f t="shared" si="6"/>
        <v>-12.41</v>
      </c>
      <c r="L142" s="54">
        <v>52.5</v>
      </c>
      <c r="M142" s="65">
        <f t="shared" si="7"/>
        <v>12.41</v>
      </c>
    </row>
    <row r="143" spans="2:13" x14ac:dyDescent="0.25">
      <c r="B143" s="54">
        <v>50</v>
      </c>
      <c r="C143" s="65">
        <f t="shared" si="6"/>
        <v>-9.91</v>
      </c>
      <c r="L143" s="54">
        <v>50</v>
      </c>
      <c r="M143" s="65">
        <f t="shared" si="7"/>
        <v>9.91</v>
      </c>
    </row>
    <row r="144" spans="2:13" x14ac:dyDescent="0.25">
      <c r="B144" s="54">
        <v>45</v>
      </c>
      <c r="C144" s="65">
        <f t="shared" si="6"/>
        <v>-4.91</v>
      </c>
      <c r="L144" s="54">
        <v>45</v>
      </c>
      <c r="M144" s="65">
        <f t="shared" si="7"/>
        <v>4.91</v>
      </c>
    </row>
    <row r="145" spans="2:16" x14ac:dyDescent="0.25">
      <c r="B145" s="54">
        <v>40</v>
      </c>
      <c r="C145" s="65">
        <f t="shared" si="6"/>
        <v>8.9999999999999858E-2</v>
      </c>
      <c r="L145" s="54">
        <v>40</v>
      </c>
      <c r="M145" s="65">
        <f t="shared" si="7"/>
        <v>-8.9999999999999858E-2</v>
      </c>
    </row>
    <row r="146" spans="2:16" x14ac:dyDescent="0.25">
      <c r="B146" s="54">
        <v>35</v>
      </c>
      <c r="C146" s="65">
        <f t="shared" si="6"/>
        <v>5.09</v>
      </c>
      <c r="L146" s="54">
        <v>35</v>
      </c>
      <c r="M146" s="65">
        <f t="shared" si="7"/>
        <v>-5.09</v>
      </c>
    </row>
    <row r="147" spans="2:16" x14ac:dyDescent="0.25">
      <c r="B147" s="54">
        <v>30</v>
      </c>
      <c r="C147" s="65">
        <f t="shared" si="6"/>
        <v>10.09</v>
      </c>
      <c r="L147" s="54">
        <v>30</v>
      </c>
      <c r="M147" s="65">
        <f t="shared" si="7"/>
        <v>-10.09</v>
      </c>
    </row>
    <row r="148" spans="2:16" x14ac:dyDescent="0.25">
      <c r="B148" s="54">
        <v>0</v>
      </c>
      <c r="C148" s="65">
        <f t="shared" si="6"/>
        <v>40.090000000000003</v>
      </c>
      <c r="L148" s="54">
        <v>0</v>
      </c>
      <c r="M148" s="65">
        <f t="shared" si="7"/>
        <v>-40.090000000000003</v>
      </c>
    </row>
    <row r="149" spans="2:16" x14ac:dyDescent="0.25">
      <c r="B149" s="54"/>
      <c r="C149" s="65"/>
      <c r="L149" s="54"/>
      <c r="M149" s="65"/>
    </row>
    <row r="150" spans="2:16" x14ac:dyDescent="0.25">
      <c r="B150" s="54"/>
      <c r="C150" s="65"/>
      <c r="L150" s="54"/>
      <c r="M150" s="65"/>
    </row>
    <row r="151" spans="2:16" x14ac:dyDescent="0.25">
      <c r="B151" s="54"/>
      <c r="C151" s="65"/>
      <c r="L151" s="54"/>
      <c r="M151" s="65"/>
    </row>
    <row r="152" spans="2:16" x14ac:dyDescent="0.25">
      <c r="B152" s="54"/>
      <c r="C152" s="65"/>
      <c r="L152" s="54"/>
      <c r="M152" s="65"/>
    </row>
    <row r="153" spans="2:16" x14ac:dyDescent="0.25">
      <c r="B153" s="28"/>
      <c r="C153" s="28"/>
      <c r="D153" s="28"/>
      <c r="E153" s="28"/>
      <c r="F153" s="28"/>
      <c r="G153" s="28"/>
      <c r="H153" s="28"/>
      <c r="I153" s="28"/>
      <c r="J153" s="28"/>
      <c r="K153" s="28"/>
      <c r="L153" s="28"/>
      <c r="M153" s="28"/>
      <c r="N153" s="28"/>
      <c r="O153" s="28"/>
    </row>
    <row r="155" spans="2:16" x14ac:dyDescent="0.25">
      <c r="B155" s="25" t="s">
        <v>210</v>
      </c>
      <c r="P155" s="64"/>
    </row>
    <row r="157" spans="2:16" x14ac:dyDescent="0.25">
      <c r="B157" s="16" t="s">
        <v>211</v>
      </c>
      <c r="G157" s="16" t="s">
        <v>217</v>
      </c>
    </row>
    <row r="158" spans="2:16" x14ac:dyDescent="0.25">
      <c r="B158" s="16" t="s">
        <v>212</v>
      </c>
      <c r="G158" s="16" t="s">
        <v>218</v>
      </c>
    </row>
    <row r="159" spans="2:16" x14ac:dyDescent="0.25">
      <c r="B159" s="16" t="s">
        <v>213</v>
      </c>
    </row>
    <row r="161" spans="2:13" x14ac:dyDescent="0.25">
      <c r="B161" s="16" t="s">
        <v>220</v>
      </c>
    </row>
    <row r="162" spans="2:13" x14ac:dyDescent="0.25">
      <c r="B162" s="21" t="s">
        <v>221</v>
      </c>
      <c r="L162" s="21" t="s">
        <v>224</v>
      </c>
    </row>
    <row r="163" spans="2:13" x14ac:dyDescent="0.25">
      <c r="B163" s="16" t="s">
        <v>222</v>
      </c>
      <c r="L163" s="16" t="s">
        <v>225</v>
      </c>
    </row>
    <row r="164" spans="2:13" ht="18" x14ac:dyDescent="0.25">
      <c r="B164" s="16" t="s">
        <v>223</v>
      </c>
    </row>
    <row r="165" spans="2:13" x14ac:dyDescent="0.25">
      <c r="B165" s="16"/>
    </row>
    <row r="166" spans="2:13" x14ac:dyDescent="0.25">
      <c r="B166" s="51" t="s">
        <v>520</v>
      </c>
      <c r="C166" s="167">
        <v>52.14</v>
      </c>
      <c r="L166" s="51" t="s">
        <v>520</v>
      </c>
      <c r="M166" s="167">
        <v>52.14</v>
      </c>
    </row>
    <row r="167" spans="2:13" x14ac:dyDescent="0.25">
      <c r="B167" s="51" t="s">
        <v>548</v>
      </c>
      <c r="C167" s="167">
        <v>50</v>
      </c>
      <c r="L167" s="51" t="s">
        <v>549</v>
      </c>
      <c r="M167" s="167">
        <v>50</v>
      </c>
    </row>
    <row r="168" spans="2:13" x14ac:dyDescent="0.25">
      <c r="B168" s="51" t="s">
        <v>541</v>
      </c>
      <c r="C168" s="167">
        <v>7.4</v>
      </c>
      <c r="L168" s="51" t="s">
        <v>543</v>
      </c>
      <c r="M168" s="167">
        <v>3.87</v>
      </c>
    </row>
    <row r="169" spans="2:13" x14ac:dyDescent="0.25">
      <c r="B169" s="51" t="s">
        <v>547</v>
      </c>
      <c r="C169" s="167">
        <v>55</v>
      </c>
      <c r="L169" s="51" t="s">
        <v>550</v>
      </c>
      <c r="M169" s="167">
        <v>55</v>
      </c>
    </row>
    <row r="170" spans="2:13" x14ac:dyDescent="0.25">
      <c r="B170" s="51" t="s">
        <v>541</v>
      </c>
      <c r="C170" s="167">
        <v>5.2</v>
      </c>
      <c r="L170" s="51" t="s">
        <v>543</v>
      </c>
      <c r="M170" s="167">
        <v>6.61</v>
      </c>
    </row>
    <row r="171" spans="2:13" x14ac:dyDescent="0.25">
      <c r="B171" s="16" t="s">
        <v>536</v>
      </c>
      <c r="C171" s="197">
        <f>C167+C168-C170</f>
        <v>52.199999999999996</v>
      </c>
      <c r="L171" s="16" t="s">
        <v>536</v>
      </c>
      <c r="M171" s="197">
        <f>M169-M170+M168</f>
        <v>52.26</v>
      </c>
    </row>
    <row r="172" spans="2:13" x14ac:dyDescent="0.25">
      <c r="B172" s="16" t="s">
        <v>537</v>
      </c>
      <c r="C172" s="197">
        <f>C169-C167+C170-C168</f>
        <v>2.7999999999999989</v>
      </c>
      <c r="L172" s="16" t="s">
        <v>537</v>
      </c>
      <c r="M172" s="197">
        <f>M169-M167-M170+M168</f>
        <v>2.2599999999999998</v>
      </c>
    </row>
    <row r="173" spans="2:13" x14ac:dyDescent="0.25">
      <c r="B173" s="16" t="s">
        <v>538</v>
      </c>
      <c r="C173" s="197">
        <f>C170-C168</f>
        <v>-2.2000000000000002</v>
      </c>
      <c r="L173" s="16" t="s">
        <v>538</v>
      </c>
      <c r="M173" s="197">
        <f>-M170+M168</f>
        <v>-2.74</v>
      </c>
    </row>
    <row r="174" spans="2:13" x14ac:dyDescent="0.25">
      <c r="B174" s="16"/>
      <c r="C174" s="65"/>
    </row>
    <row r="175" spans="2:13" ht="17.25" x14ac:dyDescent="0.4">
      <c r="B175" s="16" t="s">
        <v>551</v>
      </c>
      <c r="C175" s="198">
        <f>MAX($C$173,(C166-$C$167-$C$168+$C$170-MAX(0, C166-$C$169)))</f>
        <v>-5.9999999999999609E-2</v>
      </c>
      <c r="L175" s="16" t="s">
        <v>551</v>
      </c>
      <c r="M175" s="198">
        <f>MAX($M$173,($M$169-$M$166)-MAX(0,$M$167-$M$166)+$M$168-$M$170)</f>
        <v>0.11999999999999922</v>
      </c>
    </row>
    <row r="179" spans="2:13" x14ac:dyDescent="0.25">
      <c r="B179" s="54" t="s">
        <v>632</v>
      </c>
      <c r="C179" t="s">
        <v>634</v>
      </c>
      <c r="L179" s="54" t="s">
        <v>632</v>
      </c>
      <c r="M179" t="s">
        <v>634</v>
      </c>
    </row>
    <row r="180" spans="2:13" x14ac:dyDescent="0.25">
      <c r="B180" s="54"/>
      <c r="L180" s="54"/>
    </row>
    <row r="181" spans="2:13" x14ac:dyDescent="0.25">
      <c r="B181" s="54">
        <v>100</v>
      </c>
      <c r="C181" s="82">
        <f>MAX($C$173,(B181-$C$167-$C$168+$C$170-MAX(0, B181-$C$169)))</f>
        <v>2.8000000000000043</v>
      </c>
      <c r="L181" s="54">
        <v>100</v>
      </c>
      <c r="M181" s="82">
        <f>MAX($M$173,($M$169-L181)-MAX(0,$M$167-L181)+$M$168-$M$170)</f>
        <v>-2.74</v>
      </c>
    </row>
    <row r="182" spans="2:13" x14ac:dyDescent="0.25">
      <c r="B182" s="54">
        <v>75</v>
      </c>
      <c r="C182" s="82">
        <f t="shared" ref="C182:C194" si="8">MAX($C$173,(B182-$C$167-$C$168+$C$170-MAX(0, B182-$C$169)))</f>
        <v>2.8000000000000007</v>
      </c>
      <c r="L182" s="54">
        <v>75</v>
      </c>
      <c r="M182" s="82">
        <f t="shared" ref="M182:M194" si="9">MAX($M$173,($M$169-L182)-MAX(0,$M$167-L182)+$M$168-$M$170)</f>
        <v>-2.74</v>
      </c>
    </row>
    <row r="183" spans="2:13" x14ac:dyDescent="0.25">
      <c r="B183" s="54">
        <v>70</v>
      </c>
      <c r="C183" s="82">
        <f t="shared" si="8"/>
        <v>2.8000000000000007</v>
      </c>
      <c r="L183" s="54">
        <v>70</v>
      </c>
      <c r="M183" s="82">
        <f t="shared" si="9"/>
        <v>-2.74</v>
      </c>
    </row>
    <row r="184" spans="2:13" x14ac:dyDescent="0.25">
      <c r="B184" s="54">
        <v>65</v>
      </c>
      <c r="C184" s="82">
        <f t="shared" si="8"/>
        <v>2.8000000000000007</v>
      </c>
      <c r="L184" s="54">
        <v>65</v>
      </c>
      <c r="M184" s="82">
        <f t="shared" si="9"/>
        <v>-2.74</v>
      </c>
    </row>
    <row r="185" spans="2:13" x14ac:dyDescent="0.25">
      <c r="B185" s="54">
        <v>64.91</v>
      </c>
      <c r="C185" s="82">
        <f t="shared" si="8"/>
        <v>2.8000000000000007</v>
      </c>
      <c r="L185" s="54">
        <v>64.91</v>
      </c>
      <c r="M185" s="82">
        <f t="shared" si="9"/>
        <v>-2.74</v>
      </c>
    </row>
    <row r="186" spans="2:13" x14ac:dyDescent="0.25">
      <c r="B186" s="54">
        <v>60</v>
      </c>
      <c r="C186" s="82">
        <f t="shared" si="8"/>
        <v>2.8</v>
      </c>
      <c r="L186" s="54">
        <v>60</v>
      </c>
      <c r="M186" s="82">
        <f t="shared" si="9"/>
        <v>-2.74</v>
      </c>
    </row>
    <row r="187" spans="2:13" x14ac:dyDescent="0.25">
      <c r="B187" s="54">
        <v>55</v>
      </c>
      <c r="C187" s="82">
        <f t="shared" si="8"/>
        <v>2.8</v>
      </c>
      <c r="L187" s="54">
        <v>55</v>
      </c>
      <c r="M187" s="82">
        <f t="shared" si="9"/>
        <v>-2.74</v>
      </c>
    </row>
    <row r="188" spans="2:13" x14ac:dyDescent="0.25">
      <c r="B188" s="54">
        <v>52.5</v>
      </c>
      <c r="C188" s="82">
        <f t="shared" si="8"/>
        <v>0.29999999999999982</v>
      </c>
      <c r="L188" s="54">
        <v>52.5</v>
      </c>
      <c r="M188" s="82">
        <f t="shared" si="9"/>
        <v>-0.24000000000000021</v>
      </c>
    </row>
    <row r="189" spans="2:13" x14ac:dyDescent="0.25">
      <c r="B189" s="54">
        <v>50</v>
      </c>
      <c r="C189" s="82">
        <f t="shared" si="8"/>
        <v>-2.2000000000000002</v>
      </c>
      <c r="L189" s="54">
        <v>50</v>
      </c>
      <c r="M189" s="82">
        <f t="shared" si="9"/>
        <v>2.2600000000000007</v>
      </c>
    </row>
    <row r="190" spans="2:13" x14ac:dyDescent="0.25">
      <c r="B190" s="54">
        <v>45</v>
      </c>
      <c r="C190" s="82">
        <f t="shared" si="8"/>
        <v>-2.2000000000000002</v>
      </c>
      <c r="L190" s="54">
        <v>45</v>
      </c>
      <c r="M190" s="82">
        <f t="shared" si="9"/>
        <v>2.2600000000000007</v>
      </c>
    </row>
    <row r="191" spans="2:13" x14ac:dyDescent="0.25">
      <c r="B191" s="54">
        <v>40</v>
      </c>
      <c r="C191" s="82">
        <f t="shared" si="8"/>
        <v>-2.2000000000000002</v>
      </c>
      <c r="L191" s="54">
        <v>40</v>
      </c>
      <c r="M191" s="82">
        <f t="shared" si="9"/>
        <v>2.2600000000000007</v>
      </c>
    </row>
    <row r="192" spans="2:13" x14ac:dyDescent="0.25">
      <c r="B192" s="54">
        <v>35</v>
      </c>
      <c r="C192" s="82">
        <f t="shared" si="8"/>
        <v>-2.2000000000000002</v>
      </c>
      <c r="L192" s="54">
        <v>35</v>
      </c>
      <c r="M192" s="82">
        <f t="shared" si="9"/>
        <v>2.2600000000000007</v>
      </c>
    </row>
    <row r="193" spans="2:13" x14ac:dyDescent="0.25">
      <c r="B193" s="54">
        <v>30</v>
      </c>
      <c r="C193" s="82">
        <f t="shared" si="8"/>
        <v>-2.2000000000000002</v>
      </c>
      <c r="L193" s="54">
        <v>30</v>
      </c>
      <c r="M193" s="82">
        <f t="shared" si="9"/>
        <v>2.2600000000000007</v>
      </c>
    </row>
    <row r="194" spans="2:13" x14ac:dyDescent="0.25">
      <c r="B194" s="54">
        <v>0</v>
      </c>
      <c r="C194" s="82">
        <f t="shared" si="8"/>
        <v>-2.2000000000000002</v>
      </c>
      <c r="L194" s="54">
        <v>0</v>
      </c>
      <c r="M194" s="82">
        <f t="shared" si="9"/>
        <v>2.2600000000000007</v>
      </c>
    </row>
    <row r="197" spans="2:13" x14ac:dyDescent="0.25">
      <c r="B197" s="16" t="s">
        <v>214</v>
      </c>
    </row>
    <row r="198" spans="2:13" x14ac:dyDescent="0.25">
      <c r="B198" s="16" t="s">
        <v>215</v>
      </c>
    </row>
    <row r="199" spans="2:13" x14ac:dyDescent="0.25">
      <c r="B199" s="16" t="s">
        <v>216</v>
      </c>
    </row>
    <row r="201" spans="2:13" x14ac:dyDescent="0.25">
      <c r="B201" s="16" t="s">
        <v>226</v>
      </c>
      <c r="C201" s="38" t="s">
        <v>552</v>
      </c>
      <c r="L201" s="31" t="s">
        <v>227</v>
      </c>
      <c r="M201" s="30" t="s">
        <v>554</v>
      </c>
    </row>
    <row r="202" spans="2:13" x14ac:dyDescent="0.25">
      <c r="B202" t="s">
        <v>553</v>
      </c>
    </row>
    <row r="204" spans="2:13" x14ac:dyDescent="0.25">
      <c r="B204" s="51" t="s">
        <v>520</v>
      </c>
      <c r="C204" s="167">
        <v>52.14</v>
      </c>
      <c r="L204" s="51" t="s">
        <v>520</v>
      </c>
      <c r="M204" s="167">
        <v>52.14</v>
      </c>
    </row>
    <row r="205" spans="2:13" x14ac:dyDescent="0.25">
      <c r="B205" s="51" t="s">
        <v>548</v>
      </c>
      <c r="C205" s="167">
        <v>50</v>
      </c>
      <c r="L205" s="51" t="s">
        <v>549</v>
      </c>
      <c r="M205" s="167">
        <v>50</v>
      </c>
    </row>
    <row r="206" spans="2:13" x14ac:dyDescent="0.25">
      <c r="B206" s="51" t="s">
        <v>541</v>
      </c>
      <c r="C206" s="167">
        <v>7.4</v>
      </c>
      <c r="L206" s="51" t="s">
        <v>543</v>
      </c>
      <c r="M206" s="167">
        <v>3.87</v>
      </c>
    </row>
    <row r="207" spans="2:13" x14ac:dyDescent="0.25">
      <c r="B207" s="51" t="s">
        <v>547</v>
      </c>
      <c r="C207" s="167">
        <v>55</v>
      </c>
      <c r="L207" s="51" t="s">
        <v>550</v>
      </c>
      <c r="M207" s="167">
        <v>55</v>
      </c>
    </row>
    <row r="208" spans="2:13" x14ac:dyDescent="0.25">
      <c r="B208" s="51" t="s">
        <v>541</v>
      </c>
      <c r="C208" s="167">
        <v>5.2</v>
      </c>
      <c r="L208" s="51" t="s">
        <v>543</v>
      </c>
      <c r="M208" s="167">
        <v>6.61</v>
      </c>
    </row>
    <row r="209" spans="2:13" x14ac:dyDescent="0.25">
      <c r="B209" s="16" t="s">
        <v>536</v>
      </c>
      <c r="C209" s="197">
        <f>C205+C206-C208</f>
        <v>52.199999999999996</v>
      </c>
      <c r="L209" s="16" t="s">
        <v>536</v>
      </c>
      <c r="M209" s="197">
        <f>M207-M208+M206</f>
        <v>52.26</v>
      </c>
    </row>
    <row r="210" spans="2:13" x14ac:dyDescent="0.25">
      <c r="B210" s="16" t="s">
        <v>537</v>
      </c>
      <c r="C210" s="197">
        <f>C206-C208</f>
        <v>2.2000000000000002</v>
      </c>
      <c r="L210" s="16" t="s">
        <v>537</v>
      </c>
      <c r="M210" s="197">
        <f>M208-M206</f>
        <v>2.74</v>
      </c>
    </row>
    <row r="211" spans="2:13" x14ac:dyDescent="0.25">
      <c r="B211" s="16" t="s">
        <v>538</v>
      </c>
      <c r="C211" s="197">
        <f>C205-C207+C206-C208</f>
        <v>-2.8</v>
      </c>
      <c r="L211" s="16" t="s">
        <v>538</v>
      </c>
      <c r="M211" s="197">
        <f>M205-M207+M208-M206</f>
        <v>-2.2599999999999998</v>
      </c>
    </row>
    <row r="212" spans="2:13" x14ac:dyDescent="0.25">
      <c r="B212" s="16"/>
      <c r="C212" s="65"/>
    </row>
    <row r="213" spans="2:13" ht="17.25" x14ac:dyDescent="0.4">
      <c r="B213" s="16" t="s">
        <v>551</v>
      </c>
      <c r="C213" s="198">
        <f>($C$206-$C$208)+MAX(0,(C204-$C$207))-MAX(0,C204-$C$205)</f>
        <v>5.9999999999999609E-2</v>
      </c>
      <c r="L213" s="16" t="s">
        <v>551</v>
      </c>
      <c r="M213" s="198">
        <f>$M$208-$M$206+MAX(0,$M$205-M204)-MAX(0,$M$207-M204)</f>
        <v>-0.11999999999999922</v>
      </c>
    </row>
    <row r="214" spans="2:13" x14ac:dyDescent="0.25">
      <c r="C214" s="30"/>
    </row>
    <row r="215" spans="2:13" x14ac:dyDescent="0.25">
      <c r="C215" s="30"/>
    </row>
    <row r="216" spans="2:13" x14ac:dyDescent="0.25">
      <c r="C216" s="30"/>
    </row>
    <row r="217" spans="2:13" x14ac:dyDescent="0.25">
      <c r="C217" s="30"/>
    </row>
    <row r="218" spans="2:13" x14ac:dyDescent="0.25">
      <c r="B218" s="54" t="s">
        <v>632</v>
      </c>
      <c r="C218" t="s">
        <v>634</v>
      </c>
      <c r="L218" s="54" t="s">
        <v>632</v>
      </c>
      <c r="M218" t="s">
        <v>634</v>
      </c>
    </row>
    <row r="219" spans="2:13" x14ac:dyDescent="0.25">
      <c r="B219" s="54"/>
      <c r="L219" s="54"/>
    </row>
    <row r="220" spans="2:13" x14ac:dyDescent="0.25">
      <c r="B220" s="54">
        <v>100</v>
      </c>
      <c r="C220" s="82">
        <f>($C$206-$C$208)+MAX(0,(B220-$C$207))-MAX(0,B220-$C$205)</f>
        <v>-2.7999999999999972</v>
      </c>
      <c r="L220" s="54">
        <v>100</v>
      </c>
      <c r="M220" s="82">
        <f>$M$208-$M$206+MAX(0,$M$205-L220)-MAX(0,$M$207-L220)</f>
        <v>2.74</v>
      </c>
    </row>
    <row r="221" spans="2:13" x14ac:dyDescent="0.25">
      <c r="B221" s="54">
        <v>75</v>
      </c>
      <c r="C221" s="82">
        <f t="shared" ref="C221:C233" si="10">($C$206-$C$208)+MAX(0,(B221-$C$207))-MAX(0,B221-$C$205)</f>
        <v>-2.8000000000000007</v>
      </c>
      <c r="L221" s="54">
        <v>75</v>
      </c>
      <c r="M221" s="82">
        <f t="shared" ref="M221:M233" si="11">$M$208-$M$206+MAX(0,$M$205-L221)-MAX(0,$M$207-L221)</f>
        <v>2.74</v>
      </c>
    </row>
    <row r="222" spans="2:13" x14ac:dyDescent="0.25">
      <c r="B222" s="54">
        <v>70</v>
      </c>
      <c r="C222" s="82">
        <f t="shared" si="10"/>
        <v>-2.8000000000000007</v>
      </c>
      <c r="L222" s="54">
        <v>70</v>
      </c>
      <c r="M222" s="82">
        <f t="shared" si="11"/>
        <v>2.74</v>
      </c>
    </row>
    <row r="223" spans="2:13" x14ac:dyDescent="0.25">
      <c r="B223" s="54">
        <v>65</v>
      </c>
      <c r="C223" s="82">
        <f t="shared" si="10"/>
        <v>-2.8000000000000007</v>
      </c>
      <c r="L223" s="54">
        <v>65</v>
      </c>
      <c r="M223" s="82">
        <f t="shared" si="11"/>
        <v>2.74</v>
      </c>
    </row>
    <row r="224" spans="2:13" x14ac:dyDescent="0.25">
      <c r="B224" s="54">
        <v>64.91</v>
      </c>
      <c r="C224" s="82">
        <f t="shared" si="10"/>
        <v>-2.8000000000000007</v>
      </c>
      <c r="L224" s="54">
        <v>64.91</v>
      </c>
      <c r="M224" s="82">
        <f t="shared" si="11"/>
        <v>2.74</v>
      </c>
    </row>
    <row r="225" spans="2:16" x14ac:dyDescent="0.25">
      <c r="B225" s="54">
        <v>60</v>
      </c>
      <c r="C225" s="82">
        <f t="shared" si="10"/>
        <v>-2.8</v>
      </c>
      <c r="L225" s="54">
        <v>60</v>
      </c>
      <c r="M225" s="82">
        <f t="shared" si="11"/>
        <v>2.74</v>
      </c>
    </row>
    <row r="226" spans="2:16" x14ac:dyDescent="0.25">
      <c r="B226" s="54">
        <v>55</v>
      </c>
      <c r="C226" s="82">
        <f t="shared" si="10"/>
        <v>-2.8</v>
      </c>
      <c r="L226" s="54">
        <v>55</v>
      </c>
      <c r="M226" s="82">
        <f t="shared" si="11"/>
        <v>2.74</v>
      </c>
    </row>
    <row r="227" spans="2:16" x14ac:dyDescent="0.25">
      <c r="B227" s="54">
        <v>52.5</v>
      </c>
      <c r="C227" s="82">
        <f t="shared" si="10"/>
        <v>-0.29999999999999982</v>
      </c>
      <c r="L227" s="54">
        <v>52.5</v>
      </c>
      <c r="M227" s="82">
        <f t="shared" si="11"/>
        <v>0.24000000000000021</v>
      </c>
    </row>
    <row r="228" spans="2:16" x14ac:dyDescent="0.25">
      <c r="B228" s="54">
        <v>50</v>
      </c>
      <c r="C228" s="82">
        <f t="shared" si="10"/>
        <v>2.2000000000000002</v>
      </c>
      <c r="L228" s="54">
        <v>50</v>
      </c>
      <c r="M228" s="82">
        <f t="shared" si="11"/>
        <v>-2.2599999999999998</v>
      </c>
    </row>
    <row r="229" spans="2:16" x14ac:dyDescent="0.25">
      <c r="B229" s="54">
        <v>45</v>
      </c>
      <c r="C229" s="82">
        <f t="shared" si="10"/>
        <v>2.2000000000000002</v>
      </c>
      <c r="L229" s="54">
        <v>45</v>
      </c>
      <c r="M229" s="82">
        <f t="shared" si="11"/>
        <v>-2.2599999999999998</v>
      </c>
    </row>
    <row r="230" spans="2:16" x14ac:dyDescent="0.25">
      <c r="B230" s="54">
        <v>40</v>
      </c>
      <c r="C230" s="82">
        <f t="shared" si="10"/>
        <v>2.2000000000000002</v>
      </c>
      <c r="L230" s="54">
        <v>40</v>
      </c>
      <c r="M230" s="82">
        <f t="shared" si="11"/>
        <v>-2.2599999999999998</v>
      </c>
    </row>
    <row r="231" spans="2:16" x14ac:dyDescent="0.25">
      <c r="B231" s="54">
        <v>35</v>
      </c>
      <c r="C231" s="82">
        <f t="shared" si="10"/>
        <v>2.2000000000000002</v>
      </c>
      <c r="L231" s="54">
        <v>35</v>
      </c>
      <c r="M231" s="82">
        <f t="shared" si="11"/>
        <v>-2.259999999999998</v>
      </c>
    </row>
    <row r="232" spans="2:16" x14ac:dyDescent="0.25">
      <c r="B232" s="54">
        <v>30</v>
      </c>
      <c r="C232" s="82">
        <f t="shared" si="10"/>
        <v>2.2000000000000002</v>
      </c>
      <c r="L232" s="54">
        <v>30</v>
      </c>
      <c r="M232" s="82">
        <f t="shared" si="11"/>
        <v>-2.259999999999998</v>
      </c>
    </row>
    <row r="233" spans="2:16" x14ac:dyDescent="0.25">
      <c r="B233" s="54">
        <v>0</v>
      </c>
      <c r="C233" s="82">
        <f t="shared" si="10"/>
        <v>2.2000000000000002</v>
      </c>
      <c r="L233" s="54">
        <v>0</v>
      </c>
      <c r="M233" s="82">
        <f t="shared" si="11"/>
        <v>-2.259999999999998</v>
      </c>
    </row>
    <row r="234" spans="2:16" x14ac:dyDescent="0.25">
      <c r="C234" s="30"/>
    </row>
    <row r="235" spans="2:16" x14ac:dyDescent="0.25">
      <c r="B235" s="28"/>
      <c r="C235" s="28"/>
      <c r="D235" s="28"/>
      <c r="E235" s="28"/>
      <c r="F235" s="28"/>
      <c r="G235" s="28"/>
      <c r="H235" s="28"/>
      <c r="I235" s="28"/>
      <c r="J235" s="28"/>
      <c r="K235" s="28"/>
      <c r="L235" s="28"/>
      <c r="M235" s="28"/>
      <c r="N235" s="28"/>
      <c r="O235" s="28"/>
    </row>
    <row r="238" spans="2:16" x14ac:dyDescent="0.25">
      <c r="B238" t="s">
        <v>284</v>
      </c>
      <c r="P238" s="64"/>
    </row>
  </sheetData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44"/>
  <sheetViews>
    <sheetView workbookViewId="0">
      <selection activeCell="F7" sqref="F7"/>
    </sheetView>
  </sheetViews>
  <sheetFormatPr defaultRowHeight="15" x14ac:dyDescent="0.25"/>
  <sheetData>
    <row r="2" spans="1:16" x14ac:dyDescent="0.25">
      <c r="B2" s="25" t="s">
        <v>219</v>
      </c>
    </row>
    <row r="4" spans="1:16" x14ac:dyDescent="0.25">
      <c r="B4" s="30" t="s">
        <v>228</v>
      </c>
    </row>
    <row r="5" spans="1:16" x14ac:dyDescent="0.25">
      <c r="B5" s="30"/>
    </row>
    <row r="6" spans="1:16" x14ac:dyDescent="0.25">
      <c r="B6" s="30" t="s">
        <v>229</v>
      </c>
    </row>
    <row r="7" spans="1:16" x14ac:dyDescent="0.25">
      <c r="B7" s="30"/>
    </row>
    <row r="8" spans="1:16" x14ac:dyDescent="0.25">
      <c r="B8" s="30" t="s">
        <v>230</v>
      </c>
    </row>
    <row r="9" spans="1:16" x14ac:dyDescent="0.25">
      <c r="B9" s="30"/>
    </row>
    <row r="10" spans="1:16" x14ac:dyDescent="0.25">
      <c r="B10" s="30" t="s">
        <v>231</v>
      </c>
    </row>
    <row r="11" spans="1:16" x14ac:dyDescent="0.25">
      <c r="B11" s="30"/>
    </row>
    <row r="12" spans="1:16" x14ac:dyDescent="0.25">
      <c r="B12" s="30" t="s">
        <v>232</v>
      </c>
    </row>
    <row r="13" spans="1:16" x14ac:dyDescent="0.25">
      <c r="B13" s="30"/>
    </row>
    <row r="14" spans="1:16" x14ac:dyDescent="0.25">
      <c r="B14" s="30" t="s">
        <v>233</v>
      </c>
    </row>
    <row r="16" spans="1:16" x14ac:dyDescent="0.25">
      <c r="A16" s="28"/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</row>
    <row r="18" spans="1:16" x14ac:dyDescent="0.25">
      <c r="B18" s="32" t="s">
        <v>241</v>
      </c>
      <c r="F18" s="64"/>
    </row>
    <row r="20" spans="1:16" x14ac:dyDescent="0.25">
      <c r="B20" s="16" t="s">
        <v>234</v>
      </c>
    </row>
    <row r="21" spans="1:16" x14ac:dyDescent="0.25">
      <c r="B21" s="16"/>
    </row>
    <row r="22" spans="1:16" x14ac:dyDescent="0.25">
      <c r="B22" s="16" t="s">
        <v>235</v>
      </c>
    </row>
    <row r="23" spans="1:16" x14ac:dyDescent="0.25">
      <c r="B23" s="16"/>
    </row>
    <row r="24" spans="1:16" x14ac:dyDescent="0.25">
      <c r="B24" s="16" t="s">
        <v>236</v>
      </c>
    </row>
    <row r="25" spans="1:16" x14ac:dyDescent="0.25">
      <c r="B25" s="16" t="s">
        <v>237</v>
      </c>
    </row>
    <row r="26" spans="1:16" x14ac:dyDescent="0.25">
      <c r="B26" s="16"/>
    </row>
    <row r="27" spans="1:16" x14ac:dyDescent="0.25">
      <c r="B27" s="16" t="s">
        <v>238</v>
      </c>
    </row>
    <row r="28" spans="1:16" x14ac:dyDescent="0.25">
      <c r="B28" s="16"/>
    </row>
    <row r="29" spans="1:16" x14ac:dyDescent="0.25">
      <c r="B29" s="16" t="s">
        <v>239</v>
      </c>
    </row>
    <row r="30" spans="1:16" x14ac:dyDescent="0.25">
      <c r="B30" s="16" t="s">
        <v>240</v>
      </c>
    </row>
    <row r="32" spans="1:16" x14ac:dyDescent="0.25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</row>
    <row r="34" spans="2:5" x14ac:dyDescent="0.25">
      <c r="B34" s="18" t="s">
        <v>242</v>
      </c>
      <c r="E34" s="64"/>
    </row>
    <row r="36" spans="2:5" x14ac:dyDescent="0.25">
      <c r="B36" t="s">
        <v>243</v>
      </c>
    </row>
    <row r="38" spans="2:5" x14ac:dyDescent="0.25">
      <c r="B38" t="s">
        <v>244</v>
      </c>
    </row>
    <row r="40" spans="2:5" x14ac:dyDescent="0.25">
      <c r="C40" s="15" t="s">
        <v>245</v>
      </c>
    </row>
    <row r="42" spans="2:5" x14ac:dyDescent="0.25">
      <c r="C42" t="s">
        <v>246</v>
      </c>
    </row>
    <row r="44" spans="2:5" x14ac:dyDescent="0.25">
      <c r="C44" t="s">
        <v>247</v>
      </c>
    </row>
  </sheetData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Q228"/>
  <sheetViews>
    <sheetView workbookViewId="0">
      <selection activeCell="O141" sqref="O141"/>
    </sheetView>
  </sheetViews>
  <sheetFormatPr defaultRowHeight="15" x14ac:dyDescent="0.25"/>
  <cols>
    <col min="2" max="2" width="40" customWidth="1"/>
    <col min="3" max="3" width="19.85546875" customWidth="1"/>
    <col min="6" max="6" width="14.42578125" customWidth="1"/>
    <col min="7" max="7" width="18.85546875" customWidth="1"/>
    <col min="8" max="8" width="33.85546875" customWidth="1"/>
    <col min="9" max="9" width="25.140625" customWidth="1"/>
    <col min="10" max="10" width="12.5703125" bestFit="1" customWidth="1"/>
    <col min="11" max="11" width="12.5703125" customWidth="1"/>
  </cols>
  <sheetData>
    <row r="2" spans="2:15" x14ac:dyDescent="0.25">
      <c r="B2" s="25" t="s">
        <v>251</v>
      </c>
    </row>
    <row r="4" spans="2:15" x14ac:dyDescent="0.25">
      <c r="B4" s="16" t="s">
        <v>248</v>
      </c>
    </row>
    <row r="5" spans="2:15" x14ac:dyDescent="0.25">
      <c r="B5" s="16"/>
    </row>
    <row r="6" spans="2:15" x14ac:dyDescent="0.25">
      <c r="B6" s="16" t="s">
        <v>249</v>
      </c>
      <c r="E6" t="s">
        <v>912</v>
      </c>
    </row>
    <row r="7" spans="2:15" x14ac:dyDescent="0.25">
      <c r="B7" s="33" t="s">
        <v>250</v>
      </c>
    </row>
    <row r="8" spans="2:15" x14ac:dyDescent="0.25">
      <c r="B8" s="33"/>
    </row>
    <row r="9" spans="2:15" x14ac:dyDescent="0.25">
      <c r="B9" s="16" t="s">
        <v>256</v>
      </c>
      <c r="H9" t="s">
        <v>257</v>
      </c>
    </row>
    <row r="10" spans="2:15" x14ac:dyDescent="0.25">
      <c r="B10" s="16"/>
    </row>
    <row r="11" spans="2:15" x14ac:dyDescent="0.25">
      <c r="B11" s="16"/>
      <c r="M11" s="121" t="s">
        <v>851</v>
      </c>
      <c r="N11" s="121"/>
      <c r="O11" s="121"/>
    </row>
    <row r="12" spans="2:15" x14ac:dyDescent="0.25">
      <c r="B12" s="122" t="s">
        <v>831</v>
      </c>
      <c r="H12" s="122" t="s">
        <v>832</v>
      </c>
      <c r="M12" s="121" t="s">
        <v>841</v>
      </c>
      <c r="N12" s="121"/>
      <c r="O12" s="121"/>
    </row>
    <row r="13" spans="2:15" x14ac:dyDescent="0.25">
      <c r="M13" s="121" t="s">
        <v>842</v>
      </c>
      <c r="N13" s="121"/>
      <c r="O13" s="121"/>
    </row>
    <row r="14" spans="2:15" x14ac:dyDescent="0.25">
      <c r="B14" s="51" t="s">
        <v>850</v>
      </c>
      <c r="C14" s="51">
        <v>1</v>
      </c>
      <c r="F14" s="126" t="s">
        <v>849</v>
      </c>
      <c r="H14" s="51" t="s">
        <v>887</v>
      </c>
      <c r="I14" s="199" t="str">
        <f>IF(C14=1, "Receiver", "Payer")</f>
        <v>Receiver</v>
      </c>
      <c r="M14" s="121" t="str">
        <f>I14</f>
        <v>Receiver</v>
      </c>
      <c r="N14" s="121"/>
      <c r="O14" s="121"/>
    </row>
    <row r="15" spans="2:15" x14ac:dyDescent="0.25">
      <c r="B15" s="51" t="s">
        <v>833</v>
      </c>
      <c r="C15" s="202">
        <v>30000000</v>
      </c>
      <c r="H15" s="51" t="s">
        <v>833</v>
      </c>
      <c r="I15" s="200">
        <f t="shared" ref="I15:I20" si="0">C15</f>
        <v>30000000</v>
      </c>
      <c r="M15" s="121" t="s">
        <v>843</v>
      </c>
      <c r="N15" s="121"/>
      <c r="O15" s="121"/>
    </row>
    <row r="16" spans="2:15" x14ac:dyDescent="0.25">
      <c r="B16" s="51" t="s">
        <v>837</v>
      </c>
      <c r="C16" s="161">
        <v>1.4999999999999999E-2</v>
      </c>
      <c r="H16" s="51" t="s">
        <v>837</v>
      </c>
      <c r="I16" s="201">
        <f t="shared" si="0"/>
        <v>1.4999999999999999E-2</v>
      </c>
      <c r="M16" s="121" t="s">
        <v>844</v>
      </c>
      <c r="N16" s="121"/>
      <c r="O16" s="121"/>
    </row>
    <row r="17" spans="2:14" x14ac:dyDescent="0.25">
      <c r="B17" s="51" t="s">
        <v>839</v>
      </c>
      <c r="C17" s="167">
        <v>0</v>
      </c>
      <c r="H17" s="51" t="s">
        <v>835</v>
      </c>
      <c r="I17" s="199">
        <f t="shared" si="0"/>
        <v>0</v>
      </c>
    </row>
    <row r="18" spans="2:14" x14ac:dyDescent="0.25">
      <c r="B18" s="51" t="s">
        <v>836</v>
      </c>
      <c r="C18" s="161">
        <v>0.02</v>
      </c>
      <c r="H18" s="51" t="s">
        <v>836</v>
      </c>
      <c r="I18" s="201">
        <f t="shared" si="0"/>
        <v>0.02</v>
      </c>
    </row>
    <row r="19" spans="2:14" x14ac:dyDescent="0.25">
      <c r="B19" s="51" t="s">
        <v>838</v>
      </c>
      <c r="C19" s="161">
        <v>0.03</v>
      </c>
      <c r="H19" s="51" t="s">
        <v>838</v>
      </c>
      <c r="I19" s="201">
        <f t="shared" si="0"/>
        <v>0.03</v>
      </c>
    </row>
    <row r="20" spans="2:14" x14ac:dyDescent="0.25">
      <c r="B20" s="51" t="s">
        <v>840</v>
      </c>
      <c r="C20" s="203">
        <v>1</v>
      </c>
      <c r="H20" s="51" t="s">
        <v>840</v>
      </c>
      <c r="I20" s="131">
        <f t="shared" si="0"/>
        <v>1</v>
      </c>
    </row>
    <row r="22" spans="2:14" x14ac:dyDescent="0.25">
      <c r="B22" t="s">
        <v>845</v>
      </c>
      <c r="C22" s="204">
        <f>IF($C$20=1,$C$15*$C$18,$C$15*($C$18*0.5))</f>
        <v>600000</v>
      </c>
      <c r="F22" s="1">
        <f>IF($C$14=1, I22-C22, C22-I22)</f>
        <v>-150000</v>
      </c>
      <c r="H22" t="s">
        <v>845</v>
      </c>
      <c r="I22" s="204">
        <f>IF($C$20=1,$I$15*($I$16+$I$17/10000),$I$15*($I$16+$I$17/10000)*0.5)</f>
        <v>450000</v>
      </c>
    </row>
    <row r="24" spans="2:14" x14ac:dyDescent="0.25">
      <c r="B24" t="s">
        <v>846</v>
      </c>
      <c r="C24" s="205">
        <f>IF($C$20=1, 0, $C$15*$C$18*0.5)</f>
        <v>0</v>
      </c>
      <c r="F24" s="1">
        <f>IF($C$14=1, I24-C24, C24-I24)</f>
        <v>0</v>
      </c>
      <c r="H24" t="s">
        <v>846</v>
      </c>
      <c r="I24" s="205">
        <f>IF($C$20=1, 0, $I$15*($I$16+$I$17/10000)*0.5)</f>
        <v>0</v>
      </c>
    </row>
    <row r="26" spans="2:14" x14ac:dyDescent="0.25">
      <c r="B26" t="s">
        <v>847</v>
      </c>
      <c r="C26" s="204">
        <f>IF($C$20=1,$C$15*$C$18,$C$15*($C$18*0.5))</f>
        <v>600000</v>
      </c>
      <c r="F26" s="1">
        <f>IF($C$14=1, I26-C26, C26-I26)</f>
        <v>300000</v>
      </c>
      <c r="H26" t="s">
        <v>847</v>
      </c>
      <c r="I26" s="204">
        <f>IF($C$20=1,$I$15*($I$19+$I$17/10000),$I$15*($I$19+$I$17/10000)*0.5)</f>
        <v>900000</v>
      </c>
    </row>
    <row r="28" spans="2:14" x14ac:dyDescent="0.25">
      <c r="B28" t="s">
        <v>848</v>
      </c>
      <c r="C28" s="205">
        <f>IF($C$20=1, 0, $C$15*$C$18*0.5)</f>
        <v>0</v>
      </c>
      <c r="F28" s="1">
        <f>IF($C$14=1, I28-C28, C28-I28)</f>
        <v>0</v>
      </c>
      <c r="H28" t="s">
        <v>848</v>
      </c>
      <c r="I28" s="205">
        <f>IF($C$20=1, 0, $I$15*($I$19+$I$17/10000)*0.5)</f>
        <v>0</v>
      </c>
    </row>
    <row r="30" spans="2:14" x14ac:dyDescent="0.25"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</row>
    <row r="31" spans="2:14" x14ac:dyDescent="0.25"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</row>
    <row r="32" spans="2:14" x14ac:dyDescent="0.25">
      <c r="B32" s="124" t="s">
        <v>852</v>
      </c>
      <c r="C32" s="10"/>
      <c r="D32" s="10"/>
      <c r="E32" s="10"/>
      <c r="F32" s="10"/>
      <c r="G32" s="10"/>
      <c r="H32" s="25" t="s">
        <v>258</v>
      </c>
      <c r="I32" s="10"/>
      <c r="J32" s="10"/>
      <c r="K32" s="10"/>
      <c r="L32" s="10"/>
      <c r="M32" s="10"/>
      <c r="N32" s="10"/>
    </row>
    <row r="33" spans="2:14" x14ac:dyDescent="0.25">
      <c r="B33" s="10"/>
      <c r="C33" s="10"/>
      <c r="D33" s="10"/>
      <c r="E33" s="10"/>
      <c r="F33" s="10"/>
      <c r="G33" s="10"/>
      <c r="H33" s="16" t="s">
        <v>859</v>
      </c>
      <c r="I33" s="10"/>
      <c r="J33" s="10"/>
      <c r="K33" s="10"/>
      <c r="L33" s="10"/>
      <c r="M33" s="10"/>
      <c r="N33" s="10"/>
    </row>
    <row r="34" spans="2:14" x14ac:dyDescent="0.25">
      <c r="B34" s="10"/>
      <c r="C34" s="10"/>
      <c r="D34" s="10"/>
      <c r="E34" s="10"/>
      <c r="F34" s="10"/>
      <c r="G34" s="10"/>
      <c r="H34" s="16"/>
      <c r="I34" s="10"/>
      <c r="J34" s="10"/>
      <c r="K34" s="10"/>
      <c r="L34" s="10"/>
      <c r="M34" s="10"/>
      <c r="N34" s="10"/>
    </row>
    <row r="35" spans="2:14" x14ac:dyDescent="0.25">
      <c r="B35" s="51" t="s">
        <v>833</v>
      </c>
      <c r="C35" s="202">
        <v>30000000</v>
      </c>
      <c r="D35" s="10"/>
      <c r="E35" s="10"/>
      <c r="F35" s="10"/>
      <c r="G35" s="10"/>
      <c r="H35" s="51" t="s">
        <v>833</v>
      </c>
      <c r="I35" s="202">
        <v>1000000</v>
      </c>
      <c r="J35" s="10"/>
      <c r="K35" s="10"/>
      <c r="L35" s="10"/>
      <c r="M35" s="10"/>
      <c r="N35" s="10"/>
    </row>
    <row r="36" spans="2:14" x14ac:dyDescent="0.25">
      <c r="B36" s="51" t="s">
        <v>837</v>
      </c>
      <c r="C36" s="161">
        <v>1.4999999999999999E-2</v>
      </c>
      <c r="D36" s="10"/>
      <c r="E36" s="10"/>
      <c r="F36" s="10"/>
      <c r="G36" s="10"/>
      <c r="H36" s="51" t="s">
        <v>837</v>
      </c>
      <c r="I36" s="161">
        <v>0.03</v>
      </c>
      <c r="J36" s="10"/>
      <c r="K36" s="10"/>
      <c r="L36" s="10"/>
      <c r="M36" s="10"/>
      <c r="N36" s="10"/>
    </row>
    <row r="37" spans="2:14" x14ac:dyDescent="0.25">
      <c r="B37" s="51" t="s">
        <v>839</v>
      </c>
      <c r="C37" s="167">
        <v>25</v>
      </c>
      <c r="D37" s="10"/>
      <c r="E37" s="10"/>
      <c r="F37" s="10"/>
      <c r="G37" s="10"/>
      <c r="H37" s="51" t="s">
        <v>839</v>
      </c>
      <c r="I37" s="167">
        <v>50</v>
      </c>
      <c r="J37" s="10"/>
      <c r="K37" s="10"/>
      <c r="L37" s="10"/>
      <c r="M37" s="10"/>
      <c r="N37" s="10"/>
    </row>
    <row r="38" spans="2:14" x14ac:dyDescent="0.25">
      <c r="B38" s="51" t="s">
        <v>838</v>
      </c>
      <c r="C38" s="161">
        <v>0.03</v>
      </c>
      <c r="D38" s="10"/>
      <c r="E38" s="10"/>
      <c r="F38" s="10"/>
      <c r="G38" s="10"/>
      <c r="H38" s="51" t="s">
        <v>861</v>
      </c>
      <c r="I38" s="161">
        <v>0.05</v>
      </c>
      <c r="J38" s="10"/>
      <c r="K38" s="10"/>
      <c r="L38" s="10"/>
      <c r="M38" s="10"/>
      <c r="N38" s="10"/>
    </row>
    <row r="39" spans="2:14" x14ac:dyDescent="0.25">
      <c r="B39" s="51" t="s">
        <v>840</v>
      </c>
      <c r="C39" s="125">
        <v>2</v>
      </c>
      <c r="D39" s="10"/>
      <c r="E39" s="10"/>
      <c r="F39" s="10"/>
      <c r="G39" s="10"/>
      <c r="H39" s="51" t="s">
        <v>840</v>
      </c>
      <c r="I39" s="125">
        <v>2</v>
      </c>
      <c r="J39" s="10"/>
      <c r="K39" s="10"/>
      <c r="L39" s="10"/>
      <c r="M39" s="10"/>
      <c r="N39" s="10"/>
    </row>
    <row r="40" spans="2:14" x14ac:dyDescent="0.25"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</row>
    <row r="41" spans="2:14" x14ac:dyDescent="0.25">
      <c r="B41" t="s">
        <v>853</v>
      </c>
      <c r="C41" s="204">
        <f>IF($C$39=1,$C$35*($C$36+($C$37/10000)),$C$15*($C$36+($C$37/10000))*0.5)</f>
        <v>262500</v>
      </c>
      <c r="D41" s="10"/>
      <c r="E41" s="10"/>
      <c r="F41" s="10"/>
      <c r="G41" s="10"/>
      <c r="H41" t="s">
        <v>862</v>
      </c>
      <c r="I41" s="204">
        <f>IF($I$39=1,(I35*(I36+I37/10000)),I35*(I36+I37/10000)*0.5)</f>
        <v>17500</v>
      </c>
      <c r="J41" s="10"/>
      <c r="K41" s="10"/>
      <c r="L41" s="10"/>
      <c r="M41" s="10"/>
      <c r="N41" s="10"/>
    </row>
    <row r="42" spans="2:14" x14ac:dyDescent="0.25">
      <c r="D42" s="10"/>
      <c r="E42" s="10"/>
      <c r="F42" s="10"/>
      <c r="G42" s="10"/>
      <c r="J42" s="10"/>
      <c r="K42" s="10"/>
      <c r="L42" s="10"/>
      <c r="M42" s="10"/>
      <c r="N42" s="10"/>
    </row>
    <row r="43" spans="2:14" x14ac:dyDescent="0.25">
      <c r="B43" t="s">
        <v>854</v>
      </c>
      <c r="C43" s="205">
        <f>IF($C$39=1, 0, $C$15*($C$36+($C$37/10000))*0.5)</f>
        <v>262500</v>
      </c>
      <c r="D43" s="10"/>
      <c r="E43" s="10"/>
      <c r="F43" s="10"/>
      <c r="G43" s="10"/>
      <c r="H43" t="s">
        <v>863</v>
      </c>
      <c r="I43" s="206">
        <f>IF(I39=1, I35*(I36-I38), I35*(I36-I38)*0.5)</f>
        <v>-10000.000000000002</v>
      </c>
      <c r="J43" s="10"/>
      <c r="K43" s="10" t="s">
        <v>860</v>
      </c>
      <c r="L43" s="10"/>
      <c r="M43" s="10"/>
      <c r="N43" s="10"/>
    </row>
    <row r="44" spans="2:14" x14ac:dyDescent="0.25"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</row>
    <row r="45" spans="2:14" ht="17.25" x14ac:dyDescent="0.4">
      <c r="B45" t="s">
        <v>855</v>
      </c>
      <c r="C45" s="204">
        <f>IF($C$39=1,$C$35*($C$38+($C$37/10000)),$C$15*($C$38+($C$37/10000))*0.5)</f>
        <v>487500</v>
      </c>
      <c r="D45" s="10"/>
      <c r="E45" s="10"/>
      <c r="F45" s="10"/>
      <c r="G45" s="10"/>
      <c r="H45" s="123" t="s">
        <v>864</v>
      </c>
      <c r="I45" s="207">
        <f>I41-I43</f>
        <v>27500</v>
      </c>
      <c r="J45" s="10"/>
      <c r="K45" s="10"/>
      <c r="L45" s="10"/>
      <c r="M45" s="10"/>
      <c r="N45" s="10"/>
    </row>
    <row r="46" spans="2:14" x14ac:dyDescent="0.25">
      <c r="D46" s="10"/>
      <c r="E46" s="10"/>
      <c r="F46" s="10"/>
      <c r="G46" s="10"/>
      <c r="I46" s="10"/>
      <c r="J46" s="10"/>
      <c r="K46" s="10"/>
      <c r="L46" s="10"/>
      <c r="M46" s="10"/>
      <c r="N46" s="10"/>
    </row>
    <row r="47" spans="2:14" x14ac:dyDescent="0.25">
      <c r="B47" t="s">
        <v>856</v>
      </c>
      <c r="C47" s="205">
        <f>IF($C$39=1, 0, $C$15*($C$38+($C$37/10000))*0.5)</f>
        <v>487500</v>
      </c>
      <c r="D47" s="10"/>
      <c r="E47" s="10"/>
      <c r="F47" s="10"/>
      <c r="G47" s="10"/>
      <c r="H47" s="15" t="s">
        <v>911</v>
      </c>
      <c r="I47" s="10"/>
      <c r="J47" s="10"/>
      <c r="K47" s="10"/>
      <c r="L47" s="10"/>
      <c r="M47" s="10"/>
      <c r="N47" s="10"/>
    </row>
    <row r="48" spans="2:14" x14ac:dyDescent="0.25">
      <c r="B48" s="28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</row>
    <row r="50" spans="2:11" x14ac:dyDescent="0.25">
      <c r="B50" s="25" t="s">
        <v>865</v>
      </c>
      <c r="C50" t="s">
        <v>866</v>
      </c>
    </row>
    <row r="51" spans="2:11" x14ac:dyDescent="0.25">
      <c r="C51" s="16" t="s">
        <v>260</v>
      </c>
      <c r="I51" s="25" t="s">
        <v>873</v>
      </c>
    </row>
    <row r="52" spans="2:11" x14ac:dyDescent="0.25">
      <c r="I52" s="25"/>
    </row>
    <row r="53" spans="2:11" x14ac:dyDescent="0.25">
      <c r="B53" s="16" t="s">
        <v>259</v>
      </c>
      <c r="C53" t="s">
        <v>867</v>
      </c>
      <c r="E53" s="16" t="s">
        <v>261</v>
      </c>
      <c r="I53" t="s">
        <v>881</v>
      </c>
    </row>
    <row r="54" spans="2:11" x14ac:dyDescent="0.25">
      <c r="I54" s="16" t="s">
        <v>264</v>
      </c>
    </row>
    <row r="55" spans="2:11" x14ac:dyDescent="0.25">
      <c r="B55" s="15" t="s">
        <v>262</v>
      </c>
      <c r="I55" s="16" t="s">
        <v>265</v>
      </c>
    </row>
    <row r="56" spans="2:11" x14ac:dyDescent="0.25">
      <c r="B56" s="15" t="s">
        <v>263</v>
      </c>
      <c r="I56" s="16"/>
    </row>
    <row r="57" spans="2:11" x14ac:dyDescent="0.25">
      <c r="J57" s="18" t="s">
        <v>879</v>
      </c>
      <c r="K57" s="18" t="s">
        <v>880</v>
      </c>
    </row>
    <row r="58" spans="2:11" x14ac:dyDescent="0.25">
      <c r="B58" s="51" t="s">
        <v>868</v>
      </c>
      <c r="C58" s="202">
        <v>20000000</v>
      </c>
    </row>
    <row r="59" spans="2:11" x14ac:dyDescent="0.25">
      <c r="B59" s="51" t="s">
        <v>834</v>
      </c>
      <c r="C59" s="161">
        <v>3.5000000000000003E-2</v>
      </c>
      <c r="I59" s="51" t="s">
        <v>584</v>
      </c>
      <c r="J59" s="161">
        <v>5.5E-2</v>
      </c>
      <c r="K59" s="161">
        <v>5.7500000000000002E-2</v>
      </c>
    </row>
    <row r="60" spans="2:11" x14ac:dyDescent="0.25">
      <c r="B60" s="51" t="s">
        <v>839</v>
      </c>
      <c r="C60" s="167">
        <v>-25</v>
      </c>
      <c r="I60" s="51" t="s">
        <v>874</v>
      </c>
      <c r="J60" s="167">
        <v>20</v>
      </c>
      <c r="K60" s="167">
        <v>19</v>
      </c>
    </row>
    <row r="61" spans="2:11" x14ac:dyDescent="0.25">
      <c r="B61" s="51" t="s">
        <v>869</v>
      </c>
      <c r="C61" s="167">
        <v>95</v>
      </c>
      <c r="I61" s="51" t="s">
        <v>875</v>
      </c>
      <c r="J61" s="167">
        <v>141.13</v>
      </c>
      <c r="K61" s="167">
        <v>145.1</v>
      </c>
    </row>
    <row r="62" spans="2:11" x14ac:dyDescent="0.25">
      <c r="B62" s="51" t="s">
        <v>871</v>
      </c>
      <c r="C62" s="217">
        <f>C58/1000000</f>
        <v>20</v>
      </c>
      <c r="I62" s="51" t="s">
        <v>876</v>
      </c>
      <c r="J62" s="167">
        <v>0</v>
      </c>
      <c r="K62" s="167">
        <v>0</v>
      </c>
    </row>
    <row r="63" spans="2:11" ht="15.75" thickBot="1" x14ac:dyDescent="0.3">
      <c r="C63" s="18"/>
      <c r="I63" s="51" t="s">
        <v>877</v>
      </c>
      <c r="J63" s="167">
        <v>0.94220000000000004</v>
      </c>
      <c r="K63" s="167">
        <v>0.97189999999999999</v>
      </c>
    </row>
    <row r="64" spans="2:11" x14ac:dyDescent="0.25">
      <c r="B64" s="104" t="s">
        <v>525</v>
      </c>
      <c r="C64" s="215">
        <f>C58*(C59+C60/10000)*90/360</f>
        <v>162500</v>
      </c>
      <c r="I64" s="51" t="s">
        <v>878</v>
      </c>
      <c r="J64" s="167">
        <v>148.75</v>
      </c>
      <c r="K64" s="167">
        <v>148.75</v>
      </c>
    </row>
    <row r="65" spans="2:14" ht="15.75" thickBot="1" x14ac:dyDescent="0.3">
      <c r="B65" s="105" t="s">
        <v>870</v>
      </c>
      <c r="C65" s="216">
        <f>(((1-C59)*100)-C61)*C62*25*100</f>
        <v>75000</v>
      </c>
    </row>
    <row r="66" spans="2:14" x14ac:dyDescent="0.25">
      <c r="B66" s="105"/>
      <c r="C66" s="115"/>
      <c r="I66" s="104" t="s">
        <v>882</v>
      </c>
      <c r="J66" s="208">
        <f>J64*J63+J62*100000</f>
        <v>140.15225000000001</v>
      </c>
      <c r="K66" s="209">
        <f>K64*K63+K62*100000</f>
        <v>144.57012499999999</v>
      </c>
    </row>
    <row r="67" spans="2:14" ht="18" thickBot="1" x14ac:dyDescent="0.45">
      <c r="B67" s="106" t="s">
        <v>872</v>
      </c>
      <c r="C67" s="181">
        <f>C64+C65</f>
        <v>237500</v>
      </c>
      <c r="I67" s="105" t="s">
        <v>883</v>
      </c>
      <c r="J67" s="210">
        <f>J66*1000</f>
        <v>140152.25</v>
      </c>
      <c r="K67" s="211">
        <f>K66*1000</f>
        <v>144570.125</v>
      </c>
    </row>
    <row r="68" spans="2:14" x14ac:dyDescent="0.25">
      <c r="I68" s="105"/>
      <c r="J68" s="132"/>
      <c r="K68" s="115"/>
    </row>
    <row r="69" spans="2:14" x14ac:dyDescent="0.25">
      <c r="C69" s="73"/>
      <c r="I69" s="105" t="s">
        <v>884</v>
      </c>
      <c r="J69" s="212">
        <f>J61*1000</f>
        <v>141130</v>
      </c>
      <c r="K69" s="213">
        <f>K61*1000</f>
        <v>145100</v>
      </c>
    </row>
    <row r="70" spans="2:14" x14ac:dyDescent="0.25">
      <c r="C70" s="73"/>
      <c r="I70" s="105"/>
      <c r="J70" s="132"/>
      <c r="K70" s="115"/>
    </row>
    <row r="71" spans="2:14" ht="17.25" x14ac:dyDescent="0.4">
      <c r="C71" s="73"/>
      <c r="I71" s="105" t="s">
        <v>885</v>
      </c>
      <c r="J71" s="207">
        <f>J67-J69</f>
        <v>-977.75</v>
      </c>
      <c r="K71" s="214">
        <f>K67-K69</f>
        <v>-529.875</v>
      </c>
    </row>
    <row r="72" spans="2:14" ht="15.75" thickBot="1" x14ac:dyDescent="0.3">
      <c r="C72" s="73"/>
      <c r="I72" s="12"/>
      <c r="J72" s="133" t="str">
        <f>IF(J71&gt;K71, "CTD", "Nope")</f>
        <v>Nope</v>
      </c>
      <c r="K72" s="71" t="str">
        <f>IF(J71&lt;K71, "CTD", "Nope")</f>
        <v>CTD</v>
      </c>
    </row>
    <row r="74" spans="2:14" x14ac:dyDescent="0.25">
      <c r="J74" s="1"/>
      <c r="K74" s="1"/>
    </row>
    <row r="75" spans="2:14" x14ac:dyDescent="0.25">
      <c r="B75" s="28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</row>
    <row r="77" spans="2:14" x14ac:dyDescent="0.25">
      <c r="B77" s="25" t="s">
        <v>888</v>
      </c>
      <c r="C77" s="16" t="s">
        <v>889</v>
      </c>
    </row>
    <row r="78" spans="2:14" x14ac:dyDescent="0.25">
      <c r="C78" s="16" t="s">
        <v>890</v>
      </c>
    </row>
    <row r="81" spans="2:9" x14ac:dyDescent="0.25">
      <c r="B81" t="s">
        <v>891</v>
      </c>
    </row>
    <row r="83" spans="2:9" x14ac:dyDescent="0.25">
      <c r="B83" s="51" t="s">
        <v>892</v>
      </c>
      <c r="C83" s="108">
        <v>50000000</v>
      </c>
      <c r="I83" s="134">
        <f>C83/C84</f>
        <v>42319085.907744393</v>
      </c>
    </row>
    <row r="84" spans="2:9" x14ac:dyDescent="0.25">
      <c r="B84" s="51" t="s">
        <v>893</v>
      </c>
      <c r="C84" s="59">
        <v>1.1815</v>
      </c>
      <c r="H84" t="s">
        <v>901</v>
      </c>
      <c r="I84" s="135">
        <f>1/C84</f>
        <v>0.84638171815488783</v>
      </c>
    </row>
    <row r="85" spans="2:9" x14ac:dyDescent="0.25">
      <c r="B85" s="51" t="s">
        <v>894</v>
      </c>
      <c r="C85" s="59">
        <v>100</v>
      </c>
      <c r="H85" t="s">
        <v>894</v>
      </c>
      <c r="I85" s="42">
        <f>C85</f>
        <v>100</v>
      </c>
    </row>
    <row r="86" spans="2:9" x14ac:dyDescent="0.25">
      <c r="B86" s="51" t="s">
        <v>895</v>
      </c>
      <c r="C86" s="59">
        <v>60</v>
      </c>
      <c r="H86" t="s">
        <v>895</v>
      </c>
      <c r="I86" s="42">
        <f>C86</f>
        <v>60</v>
      </c>
    </row>
    <row r="87" spans="2:9" x14ac:dyDescent="0.25">
      <c r="B87" s="51" t="s">
        <v>896</v>
      </c>
      <c r="C87" s="59">
        <v>-20</v>
      </c>
      <c r="H87" t="s">
        <v>896</v>
      </c>
      <c r="I87" s="42">
        <f>C87*-1</f>
        <v>20</v>
      </c>
    </row>
    <row r="88" spans="2:9" x14ac:dyDescent="0.25">
      <c r="B88" s="51" t="s">
        <v>902</v>
      </c>
      <c r="C88" s="59">
        <v>4</v>
      </c>
      <c r="H88" t="s">
        <v>902</v>
      </c>
      <c r="I88" s="42">
        <v>4</v>
      </c>
    </row>
    <row r="89" spans="2:9" x14ac:dyDescent="0.25">
      <c r="B89" s="51" t="s">
        <v>898</v>
      </c>
      <c r="C89" s="59">
        <v>0.02</v>
      </c>
      <c r="H89" s="51" t="s">
        <v>897</v>
      </c>
      <c r="I89" s="59">
        <v>1.4999999999999999E-2</v>
      </c>
    </row>
    <row r="90" spans="2:9" x14ac:dyDescent="0.25">
      <c r="B90" s="51" t="s">
        <v>900</v>
      </c>
      <c r="C90" s="59">
        <v>1.9E-2</v>
      </c>
      <c r="H90" s="51" t="s">
        <v>899</v>
      </c>
      <c r="I90" s="59">
        <v>1.6E-2</v>
      </c>
    </row>
    <row r="93" spans="2:9" x14ac:dyDescent="0.25">
      <c r="B93" s="18" t="s">
        <v>906</v>
      </c>
      <c r="C93" s="18"/>
      <c r="D93" s="18"/>
      <c r="E93" s="18"/>
      <c r="F93" s="18"/>
      <c r="G93" s="18"/>
      <c r="H93" s="18" t="s">
        <v>907</v>
      </c>
      <c r="I93" s="136">
        <f>$I$83*((I89+$I$86/10000)*1/$I$88)</f>
        <v>222175.20101565804</v>
      </c>
    </row>
    <row r="94" spans="2:9" x14ac:dyDescent="0.25">
      <c r="B94" s="18"/>
      <c r="C94" s="18"/>
      <c r="D94" s="18"/>
      <c r="E94" s="18"/>
      <c r="F94" s="18"/>
      <c r="G94" s="18"/>
      <c r="H94" s="18"/>
      <c r="I94" s="18"/>
    </row>
    <row r="95" spans="2:9" x14ac:dyDescent="0.25">
      <c r="B95" s="18" t="s">
        <v>903</v>
      </c>
      <c r="C95" s="128">
        <f>$C$83*((C89)*1/$C$88)</f>
        <v>250000</v>
      </c>
      <c r="D95" s="18"/>
      <c r="E95" s="18"/>
      <c r="F95" s="18"/>
      <c r="G95" s="18"/>
      <c r="H95" s="18" t="s">
        <v>908</v>
      </c>
      <c r="I95" s="128">
        <f>$I$83*((I89-$I$87/10000)*1/$I$88)</f>
        <v>137537.02920016926</v>
      </c>
    </row>
    <row r="96" spans="2:9" x14ac:dyDescent="0.25">
      <c r="B96" s="18"/>
      <c r="C96" s="18"/>
      <c r="D96" s="18"/>
      <c r="E96" s="18"/>
      <c r="F96" s="18"/>
      <c r="G96" s="18"/>
      <c r="H96" s="18"/>
      <c r="I96" s="18"/>
    </row>
    <row r="97" spans="2:13" x14ac:dyDescent="0.25">
      <c r="B97" s="18" t="s">
        <v>904</v>
      </c>
      <c r="C97" s="137">
        <f>$C$83*(C89+$C$85/10000)*1/$C$88</f>
        <v>375000</v>
      </c>
      <c r="D97" s="18"/>
      <c r="E97" s="18"/>
      <c r="F97" s="18"/>
      <c r="G97" s="18"/>
      <c r="H97" s="18"/>
      <c r="I97" s="18"/>
    </row>
    <row r="98" spans="2:13" x14ac:dyDescent="0.25">
      <c r="B98" s="18" t="s">
        <v>905</v>
      </c>
      <c r="C98" s="138">
        <f>$C$83*(C89+$C$86/10000+$I$87/10000)*1/$C$88</f>
        <v>350000.00000000006</v>
      </c>
      <c r="D98" s="18"/>
      <c r="E98" s="18"/>
      <c r="F98" s="18"/>
      <c r="G98" s="18"/>
      <c r="H98" s="18"/>
      <c r="I98" s="18"/>
    </row>
    <row r="99" spans="2:13" x14ac:dyDescent="0.25">
      <c r="B99" s="18" t="s">
        <v>910</v>
      </c>
      <c r="C99" s="129">
        <f>C97-C98</f>
        <v>24999.999999999942</v>
      </c>
      <c r="D99" s="18"/>
      <c r="E99" s="18"/>
      <c r="F99" s="18"/>
      <c r="G99" s="18"/>
      <c r="H99" s="18"/>
      <c r="I99" s="18"/>
    </row>
    <row r="100" spans="2:13" x14ac:dyDescent="0.25">
      <c r="B100" s="18"/>
      <c r="C100" s="18"/>
      <c r="D100" s="18"/>
      <c r="E100" s="18"/>
      <c r="F100" s="18"/>
      <c r="G100" s="18"/>
      <c r="H100" s="18"/>
      <c r="I100" s="18"/>
    </row>
    <row r="101" spans="2:13" x14ac:dyDescent="0.25">
      <c r="B101" s="18" t="s">
        <v>906</v>
      </c>
      <c r="C101" s="18"/>
      <c r="D101" s="18"/>
      <c r="E101" s="18"/>
      <c r="F101" s="18"/>
      <c r="G101" s="18"/>
      <c r="H101" s="18" t="s">
        <v>907</v>
      </c>
      <c r="I101" s="136">
        <f>$I$83*((I90+$I$86/10000)*1/$I$88)</f>
        <v>232754.97249259416</v>
      </c>
    </row>
    <row r="102" spans="2:13" x14ac:dyDescent="0.25">
      <c r="B102" s="18"/>
      <c r="C102" s="18"/>
      <c r="D102" s="18"/>
      <c r="E102" s="18"/>
      <c r="F102" s="18"/>
      <c r="G102" s="18"/>
      <c r="H102" s="18"/>
      <c r="I102" s="18"/>
    </row>
    <row r="103" spans="2:13" x14ac:dyDescent="0.25">
      <c r="B103" s="18" t="s">
        <v>903</v>
      </c>
      <c r="C103" s="128">
        <f>$C$83*((C90)*1/$C$88)</f>
        <v>237500</v>
      </c>
      <c r="D103" s="18"/>
      <c r="E103" s="18"/>
      <c r="F103" s="18"/>
      <c r="G103" s="18"/>
      <c r="H103" s="18" t="s">
        <v>908</v>
      </c>
      <c r="I103" s="128">
        <f>$I$83*((I90-$I$87/10000)*1/$I$88)</f>
        <v>148116.80067710538</v>
      </c>
    </row>
    <row r="104" spans="2:13" x14ac:dyDescent="0.25">
      <c r="B104" s="18"/>
      <c r="C104" s="18"/>
      <c r="D104" s="18"/>
      <c r="E104" s="18"/>
      <c r="F104" s="18"/>
      <c r="G104" s="18"/>
      <c r="H104" s="18"/>
      <c r="I104" s="18"/>
    </row>
    <row r="105" spans="2:13" x14ac:dyDescent="0.25">
      <c r="B105" s="18" t="s">
        <v>904</v>
      </c>
      <c r="C105" s="137">
        <f>$C$83*(C90+$C$85/10000)*1/$C$88</f>
        <v>362500</v>
      </c>
      <c r="D105" s="18"/>
      <c r="E105" s="18"/>
      <c r="F105" s="18"/>
      <c r="G105" s="18"/>
      <c r="H105" s="18"/>
      <c r="I105" s="18"/>
    </row>
    <row r="106" spans="2:13" x14ac:dyDescent="0.25">
      <c r="B106" s="18" t="s">
        <v>905</v>
      </c>
      <c r="C106" s="138">
        <f>$C$83*(C90+$C$86/10000+$I$87/10000)*1/$C$88</f>
        <v>337500.00000000006</v>
      </c>
      <c r="D106" s="18"/>
      <c r="E106" s="18"/>
      <c r="F106" s="18"/>
      <c r="G106" s="18"/>
      <c r="H106" s="18"/>
      <c r="I106" s="18"/>
    </row>
    <row r="107" spans="2:13" x14ac:dyDescent="0.25">
      <c r="B107" s="18" t="s">
        <v>909</v>
      </c>
      <c r="C107" s="129">
        <f>C105-C106</f>
        <v>24999.999999999942</v>
      </c>
      <c r="D107" s="18"/>
      <c r="E107" s="18"/>
      <c r="F107" s="18"/>
      <c r="G107" s="18"/>
      <c r="H107" s="18"/>
      <c r="I107" s="18"/>
    </row>
    <row r="109" spans="2:13" x14ac:dyDescent="0.25">
      <c r="B109" s="28"/>
      <c r="C109" s="28"/>
      <c r="D109" s="28"/>
      <c r="E109" s="28"/>
      <c r="F109" s="28"/>
      <c r="G109" s="28"/>
      <c r="H109" s="28"/>
      <c r="I109" s="28"/>
      <c r="J109" s="28"/>
      <c r="K109" s="28"/>
      <c r="L109" s="28"/>
      <c r="M109" s="28"/>
    </row>
    <row r="111" spans="2:13" x14ac:dyDescent="0.25">
      <c r="B111" s="25" t="s">
        <v>913</v>
      </c>
      <c r="H111" s="25" t="s">
        <v>933</v>
      </c>
    </row>
    <row r="112" spans="2:13" ht="15.75" thickBot="1" x14ac:dyDescent="0.3"/>
    <row r="113" spans="1:17" ht="15.75" thickBot="1" x14ac:dyDescent="0.3">
      <c r="B113" s="34" t="s">
        <v>858</v>
      </c>
      <c r="C113" s="127">
        <f>((B118-B119)/B120)*B121</f>
        <v>90000000</v>
      </c>
      <c r="H113" s="6" t="s">
        <v>932</v>
      </c>
      <c r="I113" s="147">
        <f>((H118-H119)/H120)*(H117/(H121*H122))</f>
        <v>-32.17158176943699</v>
      </c>
    </row>
    <row r="114" spans="1:17" ht="15.75" thickBot="1" x14ac:dyDescent="0.3">
      <c r="H114" s="12"/>
      <c r="I114" s="71" t="str">
        <f>IF(I113&gt;0, "buy contracts", "sell contracts")</f>
        <v>sell contracts</v>
      </c>
    </row>
    <row r="116" spans="1:17" ht="15.75" thickBot="1" x14ac:dyDescent="0.3"/>
    <row r="117" spans="1:17" x14ac:dyDescent="0.25">
      <c r="B117" s="142">
        <f>C113</f>
        <v>90000000</v>
      </c>
      <c r="C117" s="7" t="s">
        <v>857</v>
      </c>
      <c r="D117" s="7"/>
      <c r="E117" s="8"/>
      <c r="F117" s="10"/>
      <c r="H117" s="108">
        <v>60000000</v>
      </c>
      <c r="I117" s="7" t="s">
        <v>255</v>
      </c>
      <c r="J117" s="7"/>
      <c r="K117" s="8"/>
    </row>
    <row r="118" spans="1:17" x14ac:dyDescent="0.25">
      <c r="B118" s="143">
        <v>6</v>
      </c>
      <c r="C118" s="10" t="s">
        <v>252</v>
      </c>
      <c r="D118" s="10"/>
      <c r="E118" s="11"/>
      <c r="F118" s="10"/>
      <c r="H118" s="59">
        <v>0.8</v>
      </c>
      <c r="I118" s="10" t="s">
        <v>927</v>
      </c>
      <c r="J118" s="10"/>
      <c r="K118" s="11"/>
    </row>
    <row r="119" spans="1:17" x14ac:dyDescent="0.25">
      <c r="B119" s="143">
        <v>4.5</v>
      </c>
      <c r="C119" s="10" t="s">
        <v>253</v>
      </c>
      <c r="D119" s="10"/>
      <c r="E119" s="11"/>
      <c r="F119" s="10"/>
      <c r="H119" s="59">
        <v>1.2</v>
      </c>
      <c r="I119" s="10" t="s">
        <v>928</v>
      </c>
      <c r="J119" s="10"/>
      <c r="K119" s="11"/>
    </row>
    <row r="120" spans="1:17" x14ac:dyDescent="0.25">
      <c r="B120" s="143">
        <v>2</v>
      </c>
      <c r="C120" s="10" t="s">
        <v>254</v>
      </c>
      <c r="D120" s="10"/>
      <c r="E120" s="11"/>
      <c r="F120" s="10"/>
      <c r="H120" s="59">
        <v>1</v>
      </c>
      <c r="I120" s="10" t="s">
        <v>929</v>
      </c>
      <c r="J120" s="10"/>
      <c r="K120" s="11"/>
    </row>
    <row r="121" spans="1:17" ht="15.75" thickBot="1" x14ac:dyDescent="0.3">
      <c r="B121" s="144">
        <v>120000000</v>
      </c>
      <c r="C121" s="13" t="s">
        <v>255</v>
      </c>
      <c r="D121" s="13"/>
      <c r="E121" s="14"/>
      <c r="F121" s="10"/>
      <c r="H121" s="108">
        <v>2984</v>
      </c>
      <c r="I121" s="10" t="s">
        <v>915</v>
      </c>
      <c r="J121" s="10"/>
      <c r="K121" s="11"/>
    </row>
    <row r="122" spans="1:17" ht="15.75" thickBot="1" x14ac:dyDescent="0.3">
      <c r="H122" s="59">
        <v>250</v>
      </c>
      <c r="I122" s="145" t="s">
        <v>930</v>
      </c>
      <c r="J122" s="13"/>
      <c r="K122" s="14"/>
    </row>
    <row r="123" spans="1:17" x14ac:dyDescent="0.25">
      <c r="A123" s="28"/>
      <c r="B123" s="28"/>
      <c r="C123" s="28"/>
      <c r="D123" s="28"/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</row>
    <row r="125" spans="1:17" x14ac:dyDescent="0.25">
      <c r="B125" s="25" t="s">
        <v>926</v>
      </c>
    </row>
    <row r="127" spans="1:17" x14ac:dyDescent="0.25">
      <c r="B127" s="16" t="s">
        <v>267</v>
      </c>
    </row>
    <row r="128" spans="1:17" x14ac:dyDescent="0.25">
      <c r="B128" t="s">
        <v>266</v>
      </c>
    </row>
    <row r="131" spans="2:7" x14ac:dyDescent="0.25">
      <c r="B131" s="51" t="s">
        <v>914</v>
      </c>
      <c r="C131" s="139">
        <v>60000000</v>
      </c>
    </row>
    <row r="132" spans="2:7" x14ac:dyDescent="0.25">
      <c r="B132" s="51" t="s">
        <v>920</v>
      </c>
      <c r="C132" s="59">
        <v>10.75</v>
      </c>
    </row>
    <row r="133" spans="2:7" x14ac:dyDescent="0.25">
      <c r="B133" s="51" t="s">
        <v>915</v>
      </c>
      <c r="C133" s="108">
        <v>130.21</v>
      </c>
      <c r="F133" s="16" t="s">
        <v>269</v>
      </c>
    </row>
    <row r="134" spans="2:7" x14ac:dyDescent="0.25">
      <c r="B134" s="51" t="s">
        <v>916</v>
      </c>
      <c r="C134" s="139">
        <v>100000</v>
      </c>
      <c r="F134" s="16" t="s">
        <v>270</v>
      </c>
    </row>
    <row r="135" spans="2:7" x14ac:dyDescent="0.25">
      <c r="B135" s="51" t="s">
        <v>886</v>
      </c>
      <c r="C135" s="59" t="s">
        <v>921</v>
      </c>
    </row>
    <row r="136" spans="2:7" x14ac:dyDescent="0.25">
      <c r="B136" s="51" t="s">
        <v>917</v>
      </c>
      <c r="C136" s="108">
        <v>139.56</v>
      </c>
    </row>
    <row r="137" spans="2:7" x14ac:dyDescent="0.25">
      <c r="B137" s="51" t="s">
        <v>918</v>
      </c>
      <c r="C137" s="59">
        <v>1.0709</v>
      </c>
    </row>
    <row r="138" spans="2:7" x14ac:dyDescent="0.25">
      <c r="B138" s="51" t="s">
        <v>919</v>
      </c>
      <c r="C138" s="59">
        <v>9.6999999999999993</v>
      </c>
    </row>
    <row r="139" spans="2:7" x14ac:dyDescent="0.25">
      <c r="B139" s="52" t="s">
        <v>924</v>
      </c>
      <c r="C139" s="59">
        <v>8.6999999999999993</v>
      </c>
    </row>
    <row r="140" spans="2:7" ht="15.75" thickBot="1" x14ac:dyDescent="0.3"/>
    <row r="141" spans="2:7" x14ac:dyDescent="0.25">
      <c r="B141" s="104" t="s">
        <v>922</v>
      </c>
      <c r="C141" s="140">
        <f>C131*0.0001*C132</f>
        <v>64500</v>
      </c>
      <c r="G141" s="293" t="s">
        <v>268</v>
      </c>
    </row>
    <row r="142" spans="2:7" x14ac:dyDescent="0.25">
      <c r="B142" s="105" t="s">
        <v>925</v>
      </c>
      <c r="C142" s="141">
        <f>C131*0.0001*C139</f>
        <v>52199.999999999993</v>
      </c>
      <c r="G142" s="292"/>
    </row>
    <row r="143" spans="2:7" x14ac:dyDescent="0.25">
      <c r="B143" s="105" t="s">
        <v>923</v>
      </c>
      <c r="C143" s="102">
        <f>C136*C134/100*0.0001*C138</f>
        <v>135.3732</v>
      </c>
    </row>
    <row r="144" spans="2:7" x14ac:dyDescent="0.25">
      <c r="B144" s="105"/>
      <c r="C144" s="102"/>
    </row>
    <row r="145" spans="2:13" x14ac:dyDescent="0.25">
      <c r="B145" s="105"/>
      <c r="C145" s="115"/>
    </row>
    <row r="146" spans="2:13" x14ac:dyDescent="0.25">
      <c r="B146" s="105" t="s">
        <v>931</v>
      </c>
      <c r="C146" s="146">
        <f>(C142-C141)/C143*C137</f>
        <v>-97.301903183200281</v>
      </c>
    </row>
    <row r="147" spans="2:13" ht="15.75" thickBot="1" x14ac:dyDescent="0.3">
      <c r="B147" s="106"/>
      <c r="C147" s="71" t="str">
        <f>IF(C146&gt;0, "buy contracts", "sell contracts")</f>
        <v>sell contracts</v>
      </c>
    </row>
    <row r="149" spans="2:13" x14ac:dyDescent="0.25">
      <c r="B149" s="17" t="s">
        <v>934</v>
      </c>
    </row>
    <row r="150" spans="2:13" x14ac:dyDescent="0.25">
      <c r="B150" t="s">
        <v>266</v>
      </c>
    </row>
    <row r="152" spans="2:13" x14ac:dyDescent="0.25">
      <c r="B152" s="28"/>
      <c r="C152" s="28"/>
      <c r="D152" s="28"/>
      <c r="E152" s="28"/>
      <c r="F152" s="28"/>
      <c r="G152" s="28"/>
      <c r="H152" s="28"/>
      <c r="I152" s="28"/>
      <c r="J152" s="28"/>
      <c r="K152" s="28"/>
      <c r="L152" s="28"/>
      <c r="M152" s="28"/>
    </row>
    <row r="173" spans="1:15" x14ac:dyDescent="0.25">
      <c r="B173" s="16"/>
    </row>
    <row r="176" spans="1:15" x14ac:dyDescent="0.25">
      <c r="A176" s="28"/>
      <c r="B176" s="28"/>
      <c r="C176" s="28"/>
      <c r="D176" s="28"/>
      <c r="E176" s="28"/>
      <c r="F176" s="28"/>
      <c r="G176" s="28"/>
      <c r="H176" s="28"/>
      <c r="I176" s="28"/>
      <c r="J176" s="28"/>
      <c r="K176" s="28"/>
      <c r="L176" s="28"/>
      <c r="M176" s="28"/>
      <c r="N176" s="28"/>
      <c r="O176" s="28"/>
    </row>
    <row r="178" spans="1:15" x14ac:dyDescent="0.25">
      <c r="B178" t="s">
        <v>271</v>
      </c>
      <c r="E178" s="16" t="s">
        <v>272</v>
      </c>
    </row>
    <row r="180" spans="1:15" x14ac:dyDescent="0.25">
      <c r="E180" s="16" t="s">
        <v>273</v>
      </c>
    </row>
    <row r="182" spans="1:15" x14ac:dyDescent="0.25">
      <c r="E182" s="16" t="s">
        <v>274</v>
      </c>
    </row>
    <row r="187" spans="1:15" x14ac:dyDescent="0.25">
      <c r="A187" s="28"/>
      <c r="B187" s="28"/>
      <c r="C187" s="28"/>
      <c r="D187" s="28"/>
      <c r="E187" s="28"/>
      <c r="F187" s="28"/>
      <c r="G187" s="28"/>
      <c r="H187" s="28"/>
      <c r="I187" s="28"/>
      <c r="J187" s="28"/>
      <c r="K187" s="28"/>
      <c r="L187" s="28"/>
      <c r="M187" s="28"/>
      <c r="N187" s="28"/>
      <c r="O187" s="28"/>
    </row>
    <row r="190" spans="1:15" x14ac:dyDescent="0.25">
      <c r="B190" t="s">
        <v>703</v>
      </c>
    </row>
    <row r="193" spans="1:15" x14ac:dyDescent="0.25">
      <c r="B193" s="2" t="s">
        <v>698</v>
      </c>
      <c r="C193" s="59">
        <v>98.162499999999994</v>
      </c>
    </row>
    <row r="194" spans="1:15" x14ac:dyDescent="0.25">
      <c r="B194" s="2" t="s">
        <v>697</v>
      </c>
      <c r="C194" s="72">
        <v>1.4999999999999999E-2</v>
      </c>
    </row>
    <row r="195" spans="1:15" x14ac:dyDescent="0.25">
      <c r="B195" s="2" t="s">
        <v>696</v>
      </c>
      <c r="C195" s="72">
        <v>1.7500000000000002E-2</v>
      </c>
    </row>
    <row r="196" spans="1:15" x14ac:dyDescent="0.25">
      <c r="B196" s="2" t="s">
        <v>699</v>
      </c>
      <c r="C196" s="72">
        <v>2.5000000000000001E-3</v>
      </c>
    </row>
    <row r="199" spans="1:15" x14ac:dyDescent="0.25">
      <c r="B199" t="s">
        <v>700</v>
      </c>
      <c r="C199" s="97">
        <f>(100-C193)/100</f>
        <v>1.8375000000000058E-2</v>
      </c>
    </row>
    <row r="200" spans="1:15" x14ac:dyDescent="0.25">
      <c r="B200" t="s">
        <v>701</v>
      </c>
      <c r="C200" s="68">
        <f>(C195+C194)/2</f>
        <v>1.6250000000000001E-2</v>
      </c>
    </row>
    <row r="201" spans="1:15" ht="15.75" thickBot="1" x14ac:dyDescent="0.3"/>
    <row r="202" spans="1:15" ht="15.75" thickBot="1" x14ac:dyDescent="0.3">
      <c r="B202" s="98" t="s">
        <v>702</v>
      </c>
      <c r="C202" s="99">
        <f>(C199-C200)/(C196)</f>
        <v>0.85000000000002296</v>
      </c>
    </row>
    <row r="205" spans="1:15" x14ac:dyDescent="0.25">
      <c r="A205" s="28"/>
      <c r="B205" s="28"/>
      <c r="C205" s="28"/>
      <c r="D205" s="28"/>
      <c r="E205" s="28"/>
      <c r="F205" s="28"/>
      <c r="G205" s="28"/>
      <c r="H205" s="28"/>
      <c r="I205" s="28"/>
      <c r="J205" s="28"/>
      <c r="K205" s="28"/>
      <c r="L205" s="28"/>
      <c r="M205" s="28"/>
      <c r="N205" s="28"/>
      <c r="O205" s="28"/>
    </row>
    <row r="207" spans="1:15" x14ac:dyDescent="0.25">
      <c r="B207" t="s">
        <v>704</v>
      </c>
    </row>
    <row r="210" spans="2:3" x14ac:dyDescent="0.25">
      <c r="B210" s="42" t="s">
        <v>705</v>
      </c>
      <c r="C210" s="74">
        <v>100000</v>
      </c>
    </row>
    <row r="211" spans="2:3" x14ac:dyDescent="0.25">
      <c r="B211" s="42" t="s">
        <v>706</v>
      </c>
      <c r="C211" s="87">
        <v>0.2</v>
      </c>
    </row>
    <row r="212" spans="2:3" x14ac:dyDescent="0.25">
      <c r="B212" s="42"/>
      <c r="C212" s="42"/>
    </row>
    <row r="213" spans="2:3" x14ac:dyDescent="0.25">
      <c r="B213" s="42" t="s">
        <v>707</v>
      </c>
      <c r="C213" s="74">
        <v>9</v>
      </c>
    </row>
    <row r="214" spans="2:3" x14ac:dyDescent="0.25">
      <c r="B214" s="42" t="s">
        <v>708</v>
      </c>
      <c r="C214" s="87">
        <v>0.21</v>
      </c>
    </row>
    <row r="215" spans="2:3" x14ac:dyDescent="0.25">
      <c r="B215" s="42"/>
      <c r="C215" s="42"/>
    </row>
    <row r="216" spans="2:3" x14ac:dyDescent="0.25">
      <c r="B216" s="42" t="s">
        <v>709</v>
      </c>
      <c r="C216" s="74">
        <f>12-C213</f>
        <v>3</v>
      </c>
    </row>
    <row r="217" spans="2:3" x14ac:dyDescent="0.25">
      <c r="B217" s="42" t="s">
        <v>710</v>
      </c>
      <c r="C217" s="87">
        <v>0.22</v>
      </c>
    </row>
    <row r="218" spans="2:3" x14ac:dyDescent="0.25">
      <c r="B218" s="42"/>
      <c r="C218" s="42"/>
    </row>
    <row r="219" spans="2:3" x14ac:dyDescent="0.25">
      <c r="B219" s="42" t="s">
        <v>711</v>
      </c>
      <c r="C219" s="87">
        <v>0.02</v>
      </c>
    </row>
    <row r="221" spans="2:3" ht="15.75" thickBot="1" x14ac:dyDescent="0.3"/>
    <row r="222" spans="2:3" x14ac:dyDescent="0.25">
      <c r="B222" s="6" t="s">
        <v>712</v>
      </c>
      <c r="C222" s="100">
        <f>((C214*100)^2 *C213/12)+((C217*100)^2 * C216/12)</f>
        <v>451.75</v>
      </c>
    </row>
    <row r="223" spans="2:3" x14ac:dyDescent="0.25">
      <c r="B223" s="9"/>
      <c r="C223" s="101"/>
    </row>
    <row r="224" spans="2:3" x14ac:dyDescent="0.25">
      <c r="B224" s="9" t="s">
        <v>713</v>
      </c>
      <c r="C224" s="102">
        <f>C210/(2*C211*100)</f>
        <v>2500</v>
      </c>
    </row>
    <row r="225" spans="2:3" x14ac:dyDescent="0.25">
      <c r="B225" s="9"/>
      <c r="C225" s="101"/>
    </row>
    <row r="226" spans="2:3" x14ac:dyDescent="0.25">
      <c r="B226" s="9" t="s">
        <v>714</v>
      </c>
      <c r="C226" s="102">
        <f>C224*(C222-((C211*100)^2))</f>
        <v>129375</v>
      </c>
    </row>
    <row r="227" spans="2:3" x14ac:dyDescent="0.25">
      <c r="B227" s="9"/>
      <c r="C227" s="101"/>
    </row>
    <row r="228" spans="2:3" ht="15.75" thickBot="1" x14ac:dyDescent="0.3">
      <c r="B228" s="12" t="s">
        <v>715</v>
      </c>
      <c r="C228" s="103">
        <f>C226/(1+(C219*C216/12))</f>
        <v>128731.3432835821</v>
      </c>
    </row>
  </sheetData>
  <conditionalFormatting sqref="F22 F24 F26 F28">
    <cfRule type="colorScale" priority="7">
      <colorScale>
        <cfvo type="num" val="0"/>
        <cfvo type="num" val="0"/>
        <color rgb="FFF39435"/>
        <color theme="9" tint="0.59999389629810485"/>
      </colorScale>
    </cfRule>
  </conditionalFormatting>
  <conditionalFormatting sqref="J72:K72">
    <cfRule type="containsText" dxfId="7" priority="5" operator="containsText" text="CTD">
      <formula>NOT(ISERROR(SEARCH("CTD",J72)))</formula>
    </cfRule>
    <cfRule type="containsText" dxfId="6" priority="6" operator="containsText" text="Nope">
      <formula>NOT(ISERROR(SEARCH("Nope",J72)))</formula>
    </cfRule>
  </conditionalFormatting>
  <conditionalFormatting sqref="C147">
    <cfRule type="containsText" dxfId="5" priority="1" operator="containsText" text="buy contracts">
      <formula>NOT(ISERROR(SEARCH("buy contracts",C147)))</formula>
    </cfRule>
    <cfRule type="containsText" dxfId="4" priority="2" operator="containsText" text="sell contracts">
      <formula>NOT(ISERROR(SEARCH("sell contracts",C147)))</formula>
    </cfRule>
  </conditionalFormatting>
  <conditionalFormatting sqref="I114 C147">
    <cfRule type="containsText" dxfId="3" priority="3" operator="containsText" text="buy contracts">
      <formula>NOT(ISERROR(SEARCH("buy contracts",C114)))</formula>
    </cfRule>
    <cfRule type="containsText" dxfId="2" priority="4" operator="containsText" text="sell contracts">
      <formula>NOT(ISERROR(SEARCH("sell contracts",C114)))</formula>
    </cfRule>
  </conditionalFormatting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2" r:id="rId4" name="Drop Down 2">
              <controlPr defaultSize="0" autoLine="0" autoPict="0">
                <anchor moveWithCells="1">
                  <from>
                    <xdr:col>8</xdr:col>
                    <xdr:colOff>9525</xdr:colOff>
                    <xdr:row>19</xdr:row>
                    <xdr:rowOff>9525</xdr:rowOff>
                  </from>
                  <to>
                    <xdr:col>9</xdr:col>
                    <xdr:colOff>9525</xdr:colOff>
                    <xdr:row>19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5" name="Drop Down 3">
              <controlPr defaultSize="0" autoLine="0" autoPict="0">
                <anchor moveWithCells="1">
                  <from>
                    <xdr:col>2</xdr:col>
                    <xdr:colOff>19050</xdr:colOff>
                    <xdr:row>19</xdr:row>
                    <xdr:rowOff>9525</xdr:rowOff>
                  </from>
                  <to>
                    <xdr:col>3</xdr:col>
                    <xdr:colOff>0</xdr:colOff>
                    <xdr:row>20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6" name="Drop Down 4">
              <controlPr defaultSize="0" autoLine="0" autoPict="0">
                <anchor moveWithCells="1">
                  <from>
                    <xdr:col>2</xdr:col>
                    <xdr:colOff>9525</xdr:colOff>
                    <xdr:row>13</xdr:row>
                    <xdr:rowOff>28575</xdr:rowOff>
                  </from>
                  <to>
                    <xdr:col>3</xdr:col>
                    <xdr:colOff>0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7" name="Drop Down 6">
              <controlPr defaultSize="0" autoLine="0" autoPict="0">
                <anchor moveWithCells="1">
                  <from>
                    <xdr:col>2</xdr:col>
                    <xdr:colOff>9525</xdr:colOff>
                    <xdr:row>38</xdr:row>
                    <xdr:rowOff>0</xdr:rowOff>
                  </from>
                  <to>
                    <xdr:col>3</xdr:col>
                    <xdr:colOff>19050</xdr:colOff>
                    <xdr:row>38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7" r:id="rId8" name="Drop Down 7">
              <controlPr defaultSize="0" autoLine="0" autoPict="0">
                <anchor moveWithCells="1">
                  <from>
                    <xdr:col>8</xdr:col>
                    <xdr:colOff>0</xdr:colOff>
                    <xdr:row>38</xdr:row>
                    <xdr:rowOff>9525</xdr:rowOff>
                  </from>
                  <to>
                    <xdr:col>9</xdr:col>
                    <xdr:colOff>0</xdr:colOff>
                    <xdr:row>39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15"/>
  <sheetViews>
    <sheetView workbookViewId="0">
      <selection activeCell="E21" sqref="E21"/>
    </sheetView>
  </sheetViews>
  <sheetFormatPr defaultRowHeight="15" x14ac:dyDescent="0.25"/>
  <cols>
    <col min="3" max="3" width="11.5703125" customWidth="1"/>
  </cols>
  <sheetData>
    <row r="2" spans="2:17" x14ac:dyDescent="0.25">
      <c r="B2" s="16" t="s">
        <v>275</v>
      </c>
    </row>
    <row r="3" spans="2:17" x14ac:dyDescent="0.25">
      <c r="B3" s="16" t="s">
        <v>276</v>
      </c>
      <c r="O3" s="15" t="s">
        <v>378</v>
      </c>
    </row>
    <row r="4" spans="2:17" x14ac:dyDescent="0.25">
      <c r="B4" s="16" t="s">
        <v>277</v>
      </c>
    </row>
    <row r="6" spans="2:17" x14ac:dyDescent="0.25">
      <c r="B6" s="16" t="s">
        <v>379</v>
      </c>
      <c r="O6" s="39" t="s">
        <v>380</v>
      </c>
    </row>
    <row r="7" spans="2:17" x14ac:dyDescent="0.25">
      <c r="B7" s="16" t="s">
        <v>279</v>
      </c>
      <c r="L7" s="64"/>
    </row>
    <row r="9" spans="2:17" x14ac:dyDescent="0.25">
      <c r="B9" s="36" t="s">
        <v>280</v>
      </c>
      <c r="O9" s="294" t="s">
        <v>948</v>
      </c>
      <c r="P9" s="294"/>
      <c r="Q9" s="294"/>
    </row>
    <row r="10" spans="2:17" x14ac:dyDescent="0.25">
      <c r="B10" s="37" t="s">
        <v>282</v>
      </c>
    </row>
    <row r="11" spans="2:17" x14ac:dyDescent="0.25">
      <c r="B11" s="35" t="s">
        <v>281</v>
      </c>
    </row>
    <row r="14" spans="2:17" x14ac:dyDescent="0.25">
      <c r="B14" t="s">
        <v>0</v>
      </c>
      <c r="C14" t="s">
        <v>956</v>
      </c>
      <c r="D14" s="73" t="e">
        <f>HLOOKUP(C14,#REF!, 2, FALSE)</f>
        <v>#REF!</v>
      </c>
      <c r="E14" s="41">
        <v>-4.0660019681458612</v>
      </c>
    </row>
    <row r="15" spans="2:17" x14ac:dyDescent="0.25">
      <c r="B15" t="s">
        <v>958</v>
      </c>
      <c r="C15" t="s">
        <v>957</v>
      </c>
      <c r="D15" s="73" t="e">
        <f>HLOOKUP(C15,#REF!, 2, FALSE)</f>
        <v>#REF!</v>
      </c>
      <c r="E15" s="41">
        <v>-4.4246256353755271</v>
      </c>
    </row>
  </sheetData>
  <hyperlinks>
    <hyperlink ref="O6" r:id="rId1" display="https://www.investopedia.com/terms/c/calloption.asp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103"/>
  <sheetViews>
    <sheetView workbookViewId="0">
      <selection activeCell="M105" sqref="M105"/>
    </sheetView>
  </sheetViews>
  <sheetFormatPr defaultRowHeight="15" x14ac:dyDescent="0.25"/>
  <cols>
    <col min="3" max="3" width="18.85546875" customWidth="1"/>
    <col min="8" max="8" width="13.7109375" customWidth="1"/>
  </cols>
  <sheetData>
    <row r="2" spans="2:6" x14ac:dyDescent="0.25">
      <c r="B2" s="25" t="s">
        <v>1</v>
      </c>
      <c r="C2" s="25"/>
    </row>
    <row r="4" spans="2:6" x14ac:dyDescent="0.25">
      <c r="B4" t="s">
        <v>24</v>
      </c>
    </row>
    <row r="6" spans="2:6" x14ac:dyDescent="0.25">
      <c r="B6" t="s">
        <v>285</v>
      </c>
    </row>
    <row r="8" spans="2:6" x14ac:dyDescent="0.25">
      <c r="B8" s="16" t="s">
        <v>293</v>
      </c>
    </row>
    <row r="9" spans="2:6" x14ac:dyDescent="0.25">
      <c r="B9" s="16" t="s">
        <v>294</v>
      </c>
    </row>
    <row r="10" spans="2:6" x14ac:dyDescent="0.25">
      <c r="B10" s="16"/>
    </row>
    <row r="11" spans="2:6" x14ac:dyDescent="0.25">
      <c r="B11" s="16" t="s">
        <v>286</v>
      </c>
    </row>
    <row r="12" spans="2:6" x14ac:dyDescent="0.25">
      <c r="B12" s="16" t="s">
        <v>287</v>
      </c>
    </row>
    <row r="13" spans="2:6" x14ac:dyDescent="0.25">
      <c r="B13" s="16"/>
    </row>
    <row r="14" spans="2:6" x14ac:dyDescent="0.25">
      <c r="B14" s="16" t="s">
        <v>288</v>
      </c>
    </row>
    <row r="15" spans="2:6" x14ac:dyDescent="0.25">
      <c r="B15" s="16"/>
      <c r="F15" s="17" t="s">
        <v>605</v>
      </c>
    </row>
    <row r="16" spans="2:6" x14ac:dyDescent="0.25">
      <c r="B16" s="16"/>
    </row>
    <row r="17" spans="1:19" x14ac:dyDescent="0.25">
      <c r="B17" s="16" t="s">
        <v>289</v>
      </c>
      <c r="E17" s="16" t="s">
        <v>290</v>
      </c>
    </row>
    <row r="19" spans="1:19" x14ac:dyDescent="0.25">
      <c r="B19" s="16" t="s">
        <v>291</v>
      </c>
      <c r="E19" s="16" t="s">
        <v>292</v>
      </c>
    </row>
    <row r="21" spans="1:19" x14ac:dyDescent="0.25">
      <c r="A21" s="28"/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</row>
    <row r="23" spans="1:19" x14ac:dyDescent="0.25">
      <c r="B23" s="16" t="s">
        <v>612</v>
      </c>
    </row>
    <row r="24" spans="1:19" x14ac:dyDescent="0.25">
      <c r="B24" s="16" t="s">
        <v>295</v>
      </c>
    </row>
    <row r="25" spans="1:19" x14ac:dyDescent="0.25">
      <c r="B25" s="16" t="s">
        <v>296</v>
      </c>
    </row>
    <row r="26" spans="1:19" x14ac:dyDescent="0.25">
      <c r="B26" s="16" t="s">
        <v>297</v>
      </c>
    </row>
    <row r="27" spans="1:19" x14ac:dyDescent="0.25">
      <c r="B27" s="16" t="s">
        <v>298</v>
      </c>
    </row>
    <row r="28" spans="1:19" x14ac:dyDescent="0.25">
      <c r="B28" s="16" t="s">
        <v>299</v>
      </c>
    </row>
    <row r="29" spans="1:19" x14ac:dyDescent="0.25">
      <c r="B29" s="16"/>
    </row>
    <row r="30" spans="1:19" x14ac:dyDescent="0.25">
      <c r="B30" s="16"/>
    </row>
    <row r="31" spans="1:19" x14ac:dyDescent="0.25">
      <c r="B31" s="218">
        <v>100</v>
      </c>
      <c r="C31" s="42" t="s">
        <v>557</v>
      </c>
    </row>
    <row r="32" spans="1:19" x14ac:dyDescent="0.25">
      <c r="B32" s="218">
        <v>95.79</v>
      </c>
      <c r="C32" s="42" t="s">
        <v>558</v>
      </c>
    </row>
    <row r="33" spans="1:19" x14ac:dyDescent="0.25">
      <c r="B33" s="218">
        <v>104.45</v>
      </c>
      <c r="C33" s="42" t="s">
        <v>559</v>
      </c>
    </row>
    <row r="34" spans="1:19" x14ac:dyDescent="0.25">
      <c r="B34" s="218">
        <v>0.01</v>
      </c>
      <c r="C34" s="66" t="s">
        <v>562</v>
      </c>
    </row>
    <row r="35" spans="1:19" x14ac:dyDescent="0.25">
      <c r="B35" s="16"/>
    </row>
    <row r="36" spans="1:19" ht="15.75" thickBot="1" x14ac:dyDescent="0.3">
      <c r="B36" s="16"/>
    </row>
    <row r="37" spans="1:19" x14ac:dyDescent="0.25">
      <c r="B37" s="219">
        <f>(B33-B32)/(2*B34*B31)</f>
        <v>4.3299999999999983</v>
      </c>
      <c r="C37" s="70" t="s">
        <v>560</v>
      </c>
    </row>
    <row r="38" spans="1:19" ht="15.75" thickBot="1" x14ac:dyDescent="0.3">
      <c r="B38" s="220">
        <f>(B33+B32-(2*B31))/((B34^2)*B31)</f>
        <v>24.000000000000909</v>
      </c>
      <c r="C38" s="71" t="s">
        <v>561</v>
      </c>
    </row>
    <row r="40" spans="1:19" x14ac:dyDescent="0.25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</row>
    <row r="42" spans="1:19" x14ac:dyDescent="0.25">
      <c r="F42" s="21" t="s">
        <v>300</v>
      </c>
    </row>
    <row r="43" spans="1:19" x14ac:dyDescent="0.25">
      <c r="B43" s="167">
        <v>50</v>
      </c>
      <c r="C43" t="s">
        <v>563</v>
      </c>
      <c r="F43" s="16"/>
    </row>
    <row r="44" spans="1:19" x14ac:dyDescent="0.25">
      <c r="B44" s="171">
        <v>0.03</v>
      </c>
      <c r="C44" t="s">
        <v>564</v>
      </c>
      <c r="D44" t="s">
        <v>574</v>
      </c>
      <c r="F44" s="226">
        <f>B44*100/B45</f>
        <v>2.9556650246305417E-2</v>
      </c>
      <c r="G44" s="30" t="s">
        <v>301</v>
      </c>
    </row>
    <row r="45" spans="1:19" x14ac:dyDescent="0.25">
      <c r="B45" s="221">
        <v>101.5</v>
      </c>
      <c r="C45" t="s">
        <v>565</v>
      </c>
      <c r="E45" s="225">
        <f>F44+F45</f>
        <v>3.8610837438423612E-2</v>
      </c>
      <c r="F45" s="227">
        <f>(B46-B45)/B45</f>
        <v>9.0541871921181964E-3</v>
      </c>
      <c r="G45" s="30" t="s">
        <v>302</v>
      </c>
    </row>
    <row r="46" spans="1:19" ht="17.25" x14ac:dyDescent="0.25">
      <c r="B46" s="167">
        <v>102.419</v>
      </c>
      <c r="C46" t="s">
        <v>566</v>
      </c>
      <c r="F46" s="226">
        <f>(-B48*B49)+(0.5*B47*B49^2)</f>
        <v>3.064824E-2</v>
      </c>
      <c r="G46" s="30" t="s">
        <v>303</v>
      </c>
    </row>
    <row r="47" spans="1:19" x14ac:dyDescent="0.25">
      <c r="B47" s="167">
        <v>28</v>
      </c>
      <c r="C47" t="s">
        <v>567</v>
      </c>
      <c r="F47" s="226">
        <f>(-B48*B50)+(0.5*B47*B50^2)</f>
        <v>3.3650399999999997E-3</v>
      </c>
      <c r="G47" s="30" t="s">
        <v>306</v>
      </c>
      <c r="N47" s="30" t="s">
        <v>304</v>
      </c>
    </row>
    <row r="48" spans="1:19" x14ac:dyDescent="0.25">
      <c r="B48" s="167">
        <v>5.6</v>
      </c>
      <c r="C48" t="s">
        <v>568</v>
      </c>
      <c r="F48" s="228">
        <f>B51*B52</f>
        <v>1.5700000000000002E-2</v>
      </c>
      <c r="G48" s="30" t="s">
        <v>305</v>
      </c>
    </row>
    <row r="49" spans="2:19" ht="15.75" thickBot="1" x14ac:dyDescent="0.3">
      <c r="B49" s="161">
        <v>-5.4000000000000003E-3</v>
      </c>
      <c r="C49" s="67" t="s">
        <v>569</v>
      </c>
      <c r="D49" s="67"/>
    </row>
    <row r="50" spans="2:19" ht="15.75" thickBot="1" x14ac:dyDescent="0.3">
      <c r="B50" s="161">
        <v>-5.9999999999999995E-4</v>
      </c>
      <c r="C50" s="67" t="s">
        <v>570</v>
      </c>
      <c r="D50" s="67"/>
      <c r="F50" s="224">
        <f>SUM(F44:F48)</f>
        <v>8.8324117438423611E-2</v>
      </c>
      <c r="H50" s="18" t="s">
        <v>573</v>
      </c>
    </row>
    <row r="51" spans="2:19" x14ac:dyDescent="0.25">
      <c r="B51" s="222">
        <v>3.925E-2</v>
      </c>
      <c r="C51" t="s">
        <v>571</v>
      </c>
    </row>
    <row r="52" spans="2:19" x14ac:dyDescent="0.25">
      <c r="B52" s="223">
        <v>0.4</v>
      </c>
      <c r="C52" t="s">
        <v>572</v>
      </c>
    </row>
    <row r="53" spans="2:19" x14ac:dyDescent="0.25">
      <c r="Q53" s="64"/>
    </row>
    <row r="54" spans="2:19" x14ac:dyDescent="0.25"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69"/>
      <c r="R54" s="28"/>
      <c r="S54" s="28"/>
    </row>
    <row r="55" spans="2:19" x14ac:dyDescent="0.25">
      <c r="Q55" s="64"/>
    </row>
    <row r="56" spans="2:19" x14ac:dyDescent="0.25">
      <c r="D56" t="s">
        <v>583</v>
      </c>
      <c r="E56" t="s">
        <v>584</v>
      </c>
      <c r="F56" t="s">
        <v>585</v>
      </c>
      <c r="G56" t="s">
        <v>586</v>
      </c>
      <c r="H56" t="s">
        <v>588</v>
      </c>
      <c r="J56" t="s">
        <v>587</v>
      </c>
      <c r="Q56" s="64"/>
    </row>
    <row r="57" spans="2:19" ht="15.75" thickBot="1" x14ac:dyDescent="0.3">
      <c r="C57" t="s">
        <v>581</v>
      </c>
      <c r="D57" s="188">
        <v>12</v>
      </c>
      <c r="E57" s="187">
        <v>4.2999999999999997E-2</v>
      </c>
      <c r="F57" s="172">
        <v>4.4999999999999998E-2</v>
      </c>
      <c r="G57" s="188">
        <v>11.1</v>
      </c>
      <c r="H57" s="188"/>
      <c r="Q57" s="64"/>
    </row>
    <row r="58" spans="2:19" x14ac:dyDescent="0.25">
      <c r="C58" t="s">
        <v>582</v>
      </c>
      <c r="D58" s="188">
        <v>10</v>
      </c>
      <c r="E58" s="187">
        <v>2.75E-2</v>
      </c>
      <c r="F58" s="172">
        <v>0.03</v>
      </c>
      <c r="G58" s="188">
        <v>9.1999999999999993</v>
      </c>
      <c r="H58" s="229">
        <v>20</v>
      </c>
      <c r="J58" s="230">
        <f>1-J59</f>
        <v>0.8</v>
      </c>
      <c r="Q58" s="64"/>
    </row>
    <row r="59" spans="2:19" ht="15.75" thickBot="1" x14ac:dyDescent="0.3">
      <c r="C59" t="s">
        <v>582</v>
      </c>
      <c r="D59" s="188">
        <v>20</v>
      </c>
      <c r="E59" s="187">
        <v>5.2499999999999998E-2</v>
      </c>
      <c r="F59" s="172">
        <v>0.05</v>
      </c>
      <c r="G59" s="188">
        <v>17.5</v>
      </c>
      <c r="H59" s="229">
        <v>30</v>
      </c>
      <c r="J59" s="231">
        <f>(D57-D58)/(D59-D58)</f>
        <v>0.2</v>
      </c>
      <c r="Q59" s="64"/>
    </row>
    <row r="60" spans="2:19" x14ac:dyDescent="0.25">
      <c r="Q60" s="64"/>
    </row>
    <row r="61" spans="2:19" x14ac:dyDescent="0.25">
      <c r="Q61" s="64"/>
    </row>
    <row r="62" spans="2:19" x14ac:dyDescent="0.25">
      <c r="C62" s="232">
        <f>F57-F58</f>
        <v>1.4999999999999999E-2</v>
      </c>
      <c r="E62" s="16" t="s">
        <v>332</v>
      </c>
      <c r="Q62" s="64"/>
    </row>
    <row r="63" spans="2:19" x14ac:dyDescent="0.25">
      <c r="C63" s="233">
        <f>F57-(F58*J58+F59*J59)</f>
        <v>1.0999999999999996E-2</v>
      </c>
      <c r="E63" s="16" t="s">
        <v>333</v>
      </c>
      <c r="Q63" s="64"/>
    </row>
    <row r="64" spans="2:19" x14ac:dyDescent="0.25">
      <c r="C64" s="234">
        <f>F57-((J58*(F58+H58/10000))+(J59*(F59+H59/10000)))</f>
        <v>8.7999999999999953E-3</v>
      </c>
      <c r="E64" s="16" t="s">
        <v>589</v>
      </c>
      <c r="Q64" s="64"/>
    </row>
    <row r="65" spans="2:19" x14ac:dyDescent="0.25">
      <c r="C65" s="234">
        <f>E57-((J58*(F58+H58/10000))+(J59*(F59+H59/10000)))</f>
        <v>6.7999999999999935E-3</v>
      </c>
      <c r="E65" s="16" t="s">
        <v>334</v>
      </c>
      <c r="Q65" s="64"/>
    </row>
    <row r="66" spans="2:19" x14ac:dyDescent="0.25">
      <c r="C66" s="42" t="s">
        <v>590</v>
      </c>
      <c r="E66" s="16" t="s">
        <v>335</v>
      </c>
      <c r="Q66" s="64"/>
    </row>
    <row r="67" spans="2:19" x14ac:dyDescent="0.25">
      <c r="C67" s="42" t="s">
        <v>591</v>
      </c>
      <c r="E67" s="16" t="s">
        <v>336</v>
      </c>
      <c r="Q67" s="64"/>
    </row>
    <row r="68" spans="2:19" x14ac:dyDescent="0.25">
      <c r="Q68" s="64"/>
    </row>
    <row r="69" spans="2:19" x14ac:dyDescent="0.25">
      <c r="B69" t="s">
        <v>593</v>
      </c>
      <c r="Q69" s="64"/>
    </row>
    <row r="70" spans="2:19" x14ac:dyDescent="0.25">
      <c r="H70" t="s">
        <v>595</v>
      </c>
      <c r="Q70" s="64"/>
    </row>
    <row r="71" spans="2:19" x14ac:dyDescent="0.25">
      <c r="B71" t="s">
        <v>220</v>
      </c>
      <c r="C71" s="15" t="s">
        <v>594</v>
      </c>
      <c r="H71" s="16" t="s">
        <v>337</v>
      </c>
      <c r="Q71" s="64"/>
    </row>
    <row r="72" spans="2:19" x14ac:dyDescent="0.25">
      <c r="Q72" s="64"/>
    </row>
    <row r="73" spans="2:19" x14ac:dyDescent="0.25"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69"/>
      <c r="R73" s="28"/>
      <c r="S73" s="28"/>
    </row>
    <row r="74" spans="2:19" x14ac:dyDescent="0.25">
      <c r="Q74" s="64"/>
    </row>
    <row r="75" spans="2:19" x14ac:dyDescent="0.25">
      <c r="B75" s="16" t="s">
        <v>592</v>
      </c>
      <c r="F75" s="16"/>
      <c r="R75" s="64"/>
    </row>
    <row r="76" spans="2:19" x14ac:dyDescent="0.25">
      <c r="F76" s="16"/>
      <c r="O76" t="s">
        <v>598</v>
      </c>
      <c r="R76" s="64"/>
    </row>
    <row r="77" spans="2:19" x14ac:dyDescent="0.25">
      <c r="B77" s="171">
        <v>0.06</v>
      </c>
      <c r="C77" s="42" t="s">
        <v>604</v>
      </c>
      <c r="E77" s="16" t="s">
        <v>338</v>
      </c>
    </row>
    <row r="78" spans="2:19" x14ac:dyDescent="0.25">
      <c r="B78" s="218">
        <v>100</v>
      </c>
      <c r="C78" s="42" t="s">
        <v>557</v>
      </c>
      <c r="D78" s="42"/>
      <c r="E78" s="16" t="s">
        <v>339</v>
      </c>
      <c r="N78" s="64"/>
    </row>
    <row r="79" spans="2:19" x14ac:dyDescent="0.25">
      <c r="B79" s="218">
        <v>95.79</v>
      </c>
      <c r="C79" s="42" t="s">
        <v>558</v>
      </c>
      <c r="D79" s="42"/>
      <c r="E79" s="16" t="s">
        <v>340</v>
      </c>
      <c r="N79" s="64"/>
      <c r="O79" t="s">
        <v>599</v>
      </c>
    </row>
    <row r="80" spans="2:19" x14ac:dyDescent="0.25">
      <c r="B80" s="218">
        <v>104.45</v>
      </c>
      <c r="C80" s="42" t="s">
        <v>559</v>
      </c>
      <c r="D80" s="42"/>
      <c r="E80" s="16" t="s">
        <v>341</v>
      </c>
      <c r="N80" s="64"/>
    </row>
    <row r="81" spans="1:19" x14ac:dyDescent="0.25">
      <c r="B81" s="218">
        <v>5.0000000000000001E-3</v>
      </c>
      <c r="C81" s="66" t="s">
        <v>601</v>
      </c>
      <c r="D81" s="66"/>
    </row>
    <row r="82" spans="1:19" x14ac:dyDescent="0.25">
      <c r="B82" s="16"/>
    </row>
    <row r="83" spans="1:19" x14ac:dyDescent="0.25">
      <c r="B83" s="237">
        <v>0.15</v>
      </c>
      <c r="C83" s="66" t="s">
        <v>602</v>
      </c>
    </row>
    <row r="84" spans="1:19" ht="15.75" thickBot="1" x14ac:dyDescent="0.3">
      <c r="B84" s="238">
        <v>0.05</v>
      </c>
      <c r="C84" s="66" t="s">
        <v>603</v>
      </c>
    </row>
    <row r="85" spans="1:19" x14ac:dyDescent="0.25">
      <c r="B85" s="16"/>
    </row>
    <row r="86" spans="1:19" ht="15.75" thickBot="1" x14ac:dyDescent="0.3">
      <c r="B86" s="16"/>
      <c r="E86" s="16" t="s">
        <v>342</v>
      </c>
    </row>
    <row r="87" spans="1:19" x14ac:dyDescent="0.25">
      <c r="B87" s="235">
        <f>(B80-B79)/(2*B81*B78)</f>
        <v>8.6599999999999966</v>
      </c>
      <c r="C87" s="70" t="s">
        <v>600</v>
      </c>
      <c r="E87" s="16" t="s">
        <v>596</v>
      </c>
    </row>
    <row r="88" spans="1:19" ht="15.75" thickBot="1" x14ac:dyDescent="0.3">
      <c r="B88" s="235">
        <f>(B80+B79-(2*B78))/((B81^2)*B78)</f>
        <v>96.000000000003638</v>
      </c>
      <c r="C88" s="71" t="s">
        <v>561</v>
      </c>
      <c r="E88" t="s">
        <v>597</v>
      </c>
    </row>
    <row r="90" spans="1:19" x14ac:dyDescent="0.25">
      <c r="B90" s="236">
        <f>B77-(B87*B81)-(B84*B83)</f>
        <v>9.2000000000000137E-3</v>
      </c>
      <c r="E90" s="16" t="s">
        <v>343</v>
      </c>
      <c r="Q90" s="64"/>
    </row>
    <row r="91" spans="1:19" x14ac:dyDescent="0.25">
      <c r="Q91" s="64"/>
    </row>
    <row r="92" spans="1:19" x14ac:dyDescent="0.25">
      <c r="A92" s="10"/>
      <c r="B92" s="28"/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</row>
    <row r="94" spans="1:19" x14ac:dyDescent="0.25">
      <c r="B94" t="s">
        <v>307</v>
      </c>
    </row>
    <row r="97" spans="2:3" x14ac:dyDescent="0.25">
      <c r="B97" s="295">
        <f>B100+((B102/B103)*(B100-B101))</f>
        <v>9.166666666666666E-2</v>
      </c>
      <c r="C97" s="50" t="s">
        <v>580</v>
      </c>
    </row>
    <row r="99" spans="2:3" x14ac:dyDescent="0.25">
      <c r="B99" s="42"/>
      <c r="C99" t="s">
        <v>575</v>
      </c>
    </row>
    <row r="100" spans="2:3" x14ac:dyDescent="0.25">
      <c r="B100" s="80">
        <v>7.4999999999999997E-2</v>
      </c>
      <c r="C100" t="s">
        <v>576</v>
      </c>
    </row>
    <row r="101" spans="2:3" x14ac:dyDescent="0.25">
      <c r="B101" s="80">
        <v>0.05</v>
      </c>
      <c r="C101" t="s">
        <v>577</v>
      </c>
    </row>
    <row r="102" spans="2:3" x14ac:dyDescent="0.25">
      <c r="B102" s="42">
        <v>40</v>
      </c>
      <c r="C102" t="s">
        <v>578</v>
      </c>
    </row>
    <row r="103" spans="2:3" x14ac:dyDescent="0.25">
      <c r="B103" s="42">
        <v>60</v>
      </c>
      <c r="C103" t="s">
        <v>579</v>
      </c>
    </row>
  </sheetData>
  <pageMargins left="0.7" right="0.7" top="0.75" bottom="0.7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53"/>
  <sheetViews>
    <sheetView workbookViewId="0">
      <selection activeCell="B9" sqref="B9"/>
    </sheetView>
  </sheetViews>
  <sheetFormatPr defaultRowHeight="15" x14ac:dyDescent="0.25"/>
  <sheetData>
    <row r="2" spans="2:2" x14ac:dyDescent="0.25">
      <c r="B2" t="s">
        <v>630</v>
      </c>
    </row>
    <row r="4" spans="2:2" x14ac:dyDescent="0.25">
      <c r="B4" t="s">
        <v>611</v>
      </c>
    </row>
    <row r="5" spans="2:2" x14ac:dyDescent="0.25">
      <c r="B5" t="s">
        <v>613</v>
      </c>
    </row>
    <row r="6" spans="2:2" x14ac:dyDescent="0.25">
      <c r="B6" t="s">
        <v>614</v>
      </c>
    </row>
    <row r="8" spans="2:2" x14ac:dyDescent="0.25">
      <c r="B8" t="s">
        <v>631</v>
      </c>
    </row>
    <row r="21" spans="2:3" x14ac:dyDescent="0.25">
      <c r="B21" t="s">
        <v>322</v>
      </c>
    </row>
    <row r="23" spans="2:3" x14ac:dyDescent="0.25">
      <c r="C23" t="s">
        <v>323</v>
      </c>
    </row>
    <row r="25" spans="2:3" x14ac:dyDescent="0.25">
      <c r="B25" s="16" t="s">
        <v>308</v>
      </c>
    </row>
    <row r="26" spans="2:3" x14ac:dyDescent="0.25">
      <c r="B26" s="16" t="s">
        <v>309</v>
      </c>
    </row>
    <row r="27" spans="2:3" x14ac:dyDescent="0.25">
      <c r="B27" s="16" t="s">
        <v>310</v>
      </c>
    </row>
    <row r="28" spans="2:3" x14ac:dyDescent="0.25">
      <c r="B28" s="16" t="s">
        <v>311</v>
      </c>
    </row>
    <row r="31" spans="2:3" x14ac:dyDescent="0.25">
      <c r="B31" s="16" t="s">
        <v>312</v>
      </c>
    </row>
    <row r="32" spans="2:3" x14ac:dyDescent="0.25">
      <c r="B32" s="16" t="s">
        <v>313</v>
      </c>
    </row>
    <row r="33" spans="2:13" x14ac:dyDescent="0.25">
      <c r="B33" s="16" t="s">
        <v>314</v>
      </c>
    </row>
    <row r="34" spans="2:13" x14ac:dyDescent="0.25">
      <c r="B34" s="16" t="s">
        <v>315</v>
      </c>
    </row>
    <row r="37" spans="2:13" x14ac:dyDescent="0.25">
      <c r="L37" s="75"/>
      <c r="M37" s="75"/>
    </row>
    <row r="38" spans="2:13" x14ac:dyDescent="0.25">
      <c r="L38" s="75"/>
      <c r="M38" s="75"/>
    </row>
    <row r="39" spans="2:13" x14ac:dyDescent="0.25">
      <c r="L39" s="75"/>
      <c r="M39" s="75"/>
    </row>
    <row r="40" spans="2:13" x14ac:dyDescent="0.25">
      <c r="L40" s="75"/>
      <c r="M40" s="75"/>
    </row>
    <row r="41" spans="2:13" x14ac:dyDescent="0.25">
      <c r="L41" s="75"/>
      <c r="M41" s="75"/>
    </row>
    <row r="42" spans="2:13" x14ac:dyDescent="0.25">
      <c r="L42" s="75"/>
      <c r="M42" s="75"/>
    </row>
    <row r="43" spans="2:13" x14ac:dyDescent="0.25">
      <c r="L43" s="75"/>
      <c r="M43" s="75"/>
    </row>
    <row r="44" spans="2:13" x14ac:dyDescent="0.25">
      <c r="B44" s="16" t="s">
        <v>316</v>
      </c>
    </row>
    <row r="47" spans="2:13" x14ac:dyDescent="0.25">
      <c r="B47" s="16" t="s">
        <v>317</v>
      </c>
    </row>
    <row r="48" spans="2:13" x14ac:dyDescent="0.25">
      <c r="B48" s="16" t="s">
        <v>318</v>
      </c>
    </row>
    <row r="49" spans="1:16" x14ac:dyDescent="0.25">
      <c r="B49" s="16" t="s">
        <v>319</v>
      </c>
    </row>
    <row r="50" spans="1:16" x14ac:dyDescent="0.25">
      <c r="B50" s="16" t="s">
        <v>320</v>
      </c>
    </row>
    <row r="51" spans="1:16" x14ac:dyDescent="0.25">
      <c r="B51" s="16" t="s">
        <v>321</v>
      </c>
    </row>
    <row r="53" spans="1:16" x14ac:dyDescent="0.25">
      <c r="A53" s="28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</row>
  </sheetData>
  <pageMargins left="0.7" right="0.7" top="0.75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R22"/>
  <sheetViews>
    <sheetView workbookViewId="0">
      <selection activeCell="P12" sqref="P12"/>
    </sheetView>
  </sheetViews>
  <sheetFormatPr defaultRowHeight="15" x14ac:dyDescent="0.25"/>
  <sheetData>
    <row r="2" spans="2:14" x14ac:dyDescent="0.25">
      <c r="B2" s="25" t="s">
        <v>344</v>
      </c>
    </row>
    <row r="4" spans="2:14" x14ac:dyDescent="0.25">
      <c r="B4" s="16" t="s">
        <v>347</v>
      </c>
    </row>
    <row r="5" spans="2:14" x14ac:dyDescent="0.25">
      <c r="B5" s="16" t="s">
        <v>348</v>
      </c>
    </row>
    <row r="6" spans="2:14" ht="15.75" thickBot="1" x14ac:dyDescent="0.3">
      <c r="B6" s="16"/>
    </row>
    <row r="7" spans="2:14" x14ac:dyDescent="0.25">
      <c r="B7" s="148">
        <v>0.01</v>
      </c>
      <c r="C7" s="149" t="s">
        <v>606</v>
      </c>
      <c r="D7" s="7"/>
      <c r="E7" s="8"/>
      <c r="F7" s="16" t="s">
        <v>346</v>
      </c>
      <c r="N7" s="64"/>
    </row>
    <row r="8" spans="2:14" ht="15.75" thickBot="1" x14ac:dyDescent="0.3">
      <c r="B8" s="150">
        <v>0.05</v>
      </c>
      <c r="C8" s="151" t="s">
        <v>607</v>
      </c>
      <c r="D8" s="13"/>
      <c r="E8" s="14"/>
      <c r="F8" s="16"/>
      <c r="N8" s="64"/>
    </row>
    <row r="9" spans="2:14" ht="15.75" thickBot="1" x14ac:dyDescent="0.3">
      <c r="N9" s="64"/>
    </row>
    <row r="10" spans="2:14" x14ac:dyDescent="0.25">
      <c r="B10" s="6"/>
      <c r="C10" s="7">
        <v>1</v>
      </c>
      <c r="D10" s="7"/>
      <c r="E10" s="8"/>
      <c r="N10" s="64"/>
    </row>
    <row r="11" spans="2:14" x14ac:dyDescent="0.25">
      <c r="B11" s="152">
        <f>CHOOSE($C$10, $B$7,$B$8)</f>
        <v>0.01</v>
      </c>
      <c r="C11" s="10" t="s">
        <v>610</v>
      </c>
      <c r="D11" s="10"/>
      <c r="E11" s="11"/>
      <c r="N11" s="64"/>
    </row>
    <row r="12" spans="2:14" x14ac:dyDescent="0.25">
      <c r="B12" s="239">
        <v>0.03</v>
      </c>
      <c r="C12" s="10" t="s">
        <v>608</v>
      </c>
      <c r="D12" s="10"/>
      <c r="E12" s="11"/>
      <c r="N12" s="64"/>
    </row>
    <row r="13" spans="2:14" ht="15.75" customHeight="1" thickBot="1" x14ac:dyDescent="0.3">
      <c r="B13" s="240">
        <v>5</v>
      </c>
      <c r="C13" s="13" t="s">
        <v>609</v>
      </c>
      <c r="D13" s="13"/>
      <c r="E13" s="14"/>
      <c r="N13" s="64"/>
    </row>
    <row r="14" spans="2:14" ht="15.75" customHeight="1" x14ac:dyDescent="0.25">
      <c r="B14" s="42"/>
      <c r="N14" s="64"/>
    </row>
    <row r="15" spans="2:14" ht="15.75" customHeight="1" x14ac:dyDescent="0.25">
      <c r="B15" s="42"/>
      <c r="N15" s="64"/>
    </row>
    <row r="16" spans="2:14" x14ac:dyDescent="0.25">
      <c r="B16" s="241">
        <f>1+((B11-B12)*B13)</f>
        <v>0.9</v>
      </c>
      <c r="C16" s="15" t="s">
        <v>937</v>
      </c>
      <c r="F16" s="16" t="s">
        <v>345</v>
      </c>
      <c r="N16" s="64"/>
    </row>
    <row r="17" spans="1:18" x14ac:dyDescent="0.25">
      <c r="N17" s="64"/>
    </row>
    <row r="18" spans="1:18" x14ac:dyDescent="0.25">
      <c r="N18" s="64"/>
    </row>
    <row r="19" spans="1:18" x14ac:dyDescent="0.25">
      <c r="F19" s="16" t="s">
        <v>349</v>
      </c>
    </row>
    <row r="20" spans="1:18" x14ac:dyDescent="0.25">
      <c r="F20" s="16" t="s">
        <v>350</v>
      </c>
    </row>
    <row r="22" spans="1:18" x14ac:dyDescent="0.25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</row>
  </sheetData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4" name="Drop Down 1">
              <controlPr defaultSize="0" autoLine="0" autoPict="0">
                <anchor moveWithCells="1">
                  <from>
                    <xdr:col>2</xdr:col>
                    <xdr:colOff>9525</xdr:colOff>
                    <xdr:row>8</xdr:row>
                    <xdr:rowOff>180975</xdr:rowOff>
                  </from>
                  <to>
                    <xdr:col>5</xdr:col>
                    <xdr:colOff>9525</xdr:colOff>
                    <xdr:row>10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N125"/>
  <sheetViews>
    <sheetView workbookViewId="0">
      <selection activeCell="Q110" sqref="Q110"/>
    </sheetView>
  </sheetViews>
  <sheetFormatPr defaultRowHeight="15" x14ac:dyDescent="0.25"/>
  <cols>
    <col min="2" max="2" width="26.5703125" customWidth="1"/>
    <col min="3" max="3" width="14.85546875" customWidth="1"/>
    <col min="4" max="4" width="16" customWidth="1"/>
    <col min="5" max="5" width="11.28515625" customWidth="1"/>
    <col min="6" max="6" width="15.7109375" customWidth="1"/>
    <col min="7" max="7" width="14.28515625" customWidth="1"/>
    <col min="8" max="8" width="11.85546875" customWidth="1"/>
    <col min="9" max="9" width="12" customWidth="1"/>
    <col min="10" max="10" width="10.85546875" customWidth="1"/>
    <col min="11" max="11" width="14" customWidth="1"/>
    <col min="12" max="12" width="11.7109375" customWidth="1"/>
    <col min="13" max="13" width="10.28515625" customWidth="1"/>
  </cols>
  <sheetData>
    <row r="4" spans="2:12" x14ac:dyDescent="0.25">
      <c r="B4" t="s">
        <v>436</v>
      </c>
      <c r="C4" s="57">
        <f>C8+C5+C6</f>
        <v>0.08</v>
      </c>
      <c r="E4" t="s">
        <v>425</v>
      </c>
      <c r="F4" t="s">
        <v>426</v>
      </c>
    </row>
    <row r="5" spans="2:12" x14ac:dyDescent="0.25">
      <c r="B5" t="s">
        <v>433</v>
      </c>
      <c r="C5" s="57">
        <f>C9-C8</f>
        <v>4.9999999999999906E-3</v>
      </c>
      <c r="E5" t="s">
        <v>427</v>
      </c>
      <c r="F5" t="s">
        <v>428</v>
      </c>
    </row>
    <row r="6" spans="2:12" x14ac:dyDescent="0.25">
      <c r="B6" t="s">
        <v>434</v>
      </c>
      <c r="C6" s="57">
        <f>C7-C9</f>
        <v>5.0000000000000044E-3</v>
      </c>
      <c r="E6" t="s">
        <v>429</v>
      </c>
      <c r="F6" t="s">
        <v>430</v>
      </c>
    </row>
    <row r="7" spans="2:12" x14ac:dyDescent="0.25">
      <c r="B7" t="s">
        <v>431</v>
      </c>
      <c r="C7" s="58">
        <v>0.08</v>
      </c>
    </row>
    <row r="8" spans="2:12" x14ac:dyDescent="0.25">
      <c r="B8" t="s">
        <v>519</v>
      </c>
      <c r="C8" s="58">
        <v>7.0000000000000007E-2</v>
      </c>
    </row>
    <row r="9" spans="2:12" x14ac:dyDescent="0.25">
      <c r="B9" t="s">
        <v>432</v>
      </c>
      <c r="C9" s="58">
        <v>7.4999999999999997E-2</v>
      </c>
    </row>
    <row r="13" spans="2:12" x14ac:dyDescent="0.25"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</row>
    <row r="16" spans="2:12" x14ac:dyDescent="0.25">
      <c r="J16" t="s">
        <v>508</v>
      </c>
    </row>
    <row r="17" spans="2:13" x14ac:dyDescent="0.25">
      <c r="B17" s="25" t="s">
        <v>437</v>
      </c>
    </row>
    <row r="18" spans="2:13" x14ac:dyDescent="0.25">
      <c r="C18" t="s">
        <v>494</v>
      </c>
      <c r="D18" t="s">
        <v>495</v>
      </c>
      <c r="E18" t="s">
        <v>497</v>
      </c>
      <c r="F18" t="s">
        <v>499</v>
      </c>
      <c r="G18" t="s">
        <v>501</v>
      </c>
      <c r="H18" t="s">
        <v>502</v>
      </c>
      <c r="J18" s="44" t="s">
        <v>504</v>
      </c>
      <c r="K18" s="44" t="s">
        <v>506</v>
      </c>
      <c r="L18" s="44" t="s">
        <v>507</v>
      </c>
      <c r="M18" s="46" t="s">
        <v>514</v>
      </c>
    </row>
    <row r="19" spans="2:13" x14ac:dyDescent="0.25">
      <c r="B19" t="s">
        <v>482</v>
      </c>
      <c r="C19" t="s">
        <v>493</v>
      </c>
      <c r="D19" t="s">
        <v>493</v>
      </c>
      <c r="E19" t="s">
        <v>496</v>
      </c>
      <c r="F19" t="s">
        <v>500</v>
      </c>
      <c r="G19" t="s">
        <v>496</v>
      </c>
      <c r="H19" t="s">
        <v>496</v>
      </c>
      <c r="J19" s="44" t="s">
        <v>505</v>
      </c>
      <c r="K19" s="44" t="s">
        <v>505</v>
      </c>
      <c r="L19" s="44" t="s">
        <v>505</v>
      </c>
      <c r="M19" s="41"/>
    </row>
    <row r="20" spans="2:13" x14ac:dyDescent="0.25">
      <c r="J20" s="44"/>
      <c r="K20" s="44"/>
      <c r="L20" s="44"/>
      <c r="M20" s="41"/>
    </row>
    <row r="21" spans="2:13" x14ac:dyDescent="0.25">
      <c r="B21" t="s">
        <v>483</v>
      </c>
      <c r="C21" s="242">
        <v>0.06</v>
      </c>
      <c r="D21" s="242">
        <v>2.5000000000000001E-2</v>
      </c>
      <c r="E21" s="242">
        <v>-0.02</v>
      </c>
      <c r="F21" s="242">
        <v>-0.01</v>
      </c>
      <c r="G21" s="243">
        <f t="shared" ref="G21:G31" si="0">C21*E21</f>
        <v>-1.1999999999999999E-3</v>
      </c>
      <c r="H21" s="243">
        <f t="shared" ref="H21:H31" si="1">D21*F21</f>
        <v>-2.5000000000000001E-4</v>
      </c>
      <c r="J21" s="194">
        <f>(C21-D21)*F21</f>
        <v>-3.5E-4</v>
      </c>
      <c r="K21" s="194">
        <f>(E21-F21)*D21</f>
        <v>-2.5000000000000001E-4</v>
      </c>
      <c r="L21" s="194">
        <f>(C21-D21)*(E21-F21)</f>
        <v>-3.5E-4</v>
      </c>
      <c r="M21" s="244">
        <f t="shared" ref="M21:M31" si="2">J21+K21+L21</f>
        <v>-9.5000000000000011E-4</v>
      </c>
    </row>
    <row r="22" spans="2:13" x14ac:dyDescent="0.25">
      <c r="B22" t="s">
        <v>484</v>
      </c>
      <c r="C22" s="242">
        <v>0.2</v>
      </c>
      <c r="D22" s="242">
        <v>0.123</v>
      </c>
      <c r="E22" s="242">
        <v>-0.04</v>
      </c>
      <c r="F22" s="242">
        <v>-0.5</v>
      </c>
      <c r="G22" s="243">
        <f t="shared" si="0"/>
        <v>-8.0000000000000002E-3</v>
      </c>
      <c r="H22" s="243">
        <f t="shared" si="1"/>
        <v>-6.1499999999999999E-2</v>
      </c>
      <c r="J22" s="194">
        <f t="shared" ref="J22:J31" si="3">(C22-D22)*F22</f>
        <v>-3.8500000000000006E-2</v>
      </c>
      <c r="K22" s="194">
        <f t="shared" ref="K22:K31" si="4">(E22-F22)*D22</f>
        <v>5.6579999999999998E-2</v>
      </c>
      <c r="L22" s="194">
        <f t="shared" ref="L22:L31" si="5">(C22-D22)*(E22-F22)</f>
        <v>3.5420000000000007E-2</v>
      </c>
      <c r="M22" s="244">
        <f t="shared" si="2"/>
        <v>5.3499999999999999E-2</v>
      </c>
    </row>
    <row r="23" spans="2:13" x14ac:dyDescent="0.25">
      <c r="B23" t="s">
        <v>485</v>
      </c>
      <c r="C23" s="242">
        <v>0.08</v>
      </c>
      <c r="D23" s="242">
        <v>0.107</v>
      </c>
      <c r="E23" s="242">
        <v>0.02</v>
      </c>
      <c r="F23" s="242">
        <v>0.03</v>
      </c>
      <c r="G23" s="243">
        <f t="shared" si="0"/>
        <v>1.6000000000000001E-3</v>
      </c>
      <c r="H23" s="243">
        <f t="shared" si="1"/>
        <v>3.2099999999999997E-3</v>
      </c>
      <c r="J23" s="194">
        <f t="shared" si="3"/>
        <v>-8.0999999999999985E-4</v>
      </c>
      <c r="K23" s="194">
        <f t="shared" si="4"/>
        <v>-1.0699999999999998E-3</v>
      </c>
      <c r="L23" s="194">
        <f t="shared" si="5"/>
        <v>2.699999999999999E-4</v>
      </c>
      <c r="M23" s="244">
        <f t="shared" si="2"/>
        <v>-1.6099999999999999E-3</v>
      </c>
    </row>
    <row r="24" spans="2:13" x14ac:dyDescent="0.25">
      <c r="B24" t="s">
        <v>486</v>
      </c>
      <c r="C24" s="242">
        <v>0.14000000000000001</v>
      </c>
      <c r="D24" s="242">
        <v>2.5999999999999999E-2</v>
      </c>
      <c r="E24" s="242">
        <v>0.08</v>
      </c>
      <c r="F24" s="242">
        <v>0.02</v>
      </c>
      <c r="G24" s="243">
        <f t="shared" si="0"/>
        <v>1.1200000000000002E-2</v>
      </c>
      <c r="H24" s="243">
        <f t="shared" si="1"/>
        <v>5.1999999999999995E-4</v>
      </c>
      <c r="J24" s="194">
        <f t="shared" si="3"/>
        <v>2.2800000000000003E-3</v>
      </c>
      <c r="K24" s="194">
        <f t="shared" si="4"/>
        <v>1.56E-3</v>
      </c>
      <c r="L24" s="194">
        <f t="shared" si="5"/>
        <v>6.8400000000000006E-3</v>
      </c>
      <c r="M24" s="244">
        <f t="shared" si="2"/>
        <v>1.0680000000000002E-2</v>
      </c>
    </row>
    <row r="25" spans="2:13" x14ac:dyDescent="0.25">
      <c r="B25" t="s">
        <v>487</v>
      </c>
      <c r="C25" s="242">
        <v>0.1</v>
      </c>
      <c r="D25" s="242">
        <v>4.1000000000000002E-2</v>
      </c>
      <c r="E25" s="242">
        <v>6.4000000000000001E-2</v>
      </c>
      <c r="F25" s="242">
        <v>0.04</v>
      </c>
      <c r="G25" s="243">
        <f t="shared" si="0"/>
        <v>6.4000000000000003E-3</v>
      </c>
      <c r="H25" s="243">
        <f t="shared" si="1"/>
        <v>1.6400000000000002E-3</v>
      </c>
      <c r="J25" s="194">
        <f t="shared" si="3"/>
        <v>2.3600000000000001E-3</v>
      </c>
      <c r="K25" s="194">
        <f t="shared" si="4"/>
        <v>9.8400000000000007E-4</v>
      </c>
      <c r="L25" s="194">
        <f t="shared" si="5"/>
        <v>1.4160000000000002E-3</v>
      </c>
      <c r="M25" s="244">
        <f t="shared" si="2"/>
        <v>4.7600000000000003E-3</v>
      </c>
    </row>
    <row r="26" spans="2:13" x14ac:dyDescent="0.25">
      <c r="B26" t="s">
        <v>491</v>
      </c>
      <c r="C26" s="242">
        <v>0.05</v>
      </c>
      <c r="D26" s="242">
        <v>0.28199999999999997</v>
      </c>
      <c r="E26" s="242">
        <v>2.5999999999999999E-2</v>
      </c>
      <c r="F26" s="242">
        <v>-0.02</v>
      </c>
      <c r="G26" s="243">
        <f t="shared" si="0"/>
        <v>1.2999999999999999E-3</v>
      </c>
      <c r="H26" s="243">
        <f t="shared" si="1"/>
        <v>-5.6399999999999992E-3</v>
      </c>
      <c r="J26" s="194">
        <f t="shared" si="3"/>
        <v>4.64E-3</v>
      </c>
      <c r="K26" s="194">
        <f t="shared" si="4"/>
        <v>1.2971999999999999E-2</v>
      </c>
      <c r="L26" s="194">
        <f t="shared" si="5"/>
        <v>-1.0671999999999999E-2</v>
      </c>
      <c r="M26" s="244">
        <f t="shared" si="2"/>
        <v>6.94E-3</v>
      </c>
    </row>
    <row r="27" spans="2:13" x14ac:dyDescent="0.25">
      <c r="B27" t="s">
        <v>498</v>
      </c>
      <c r="C27" s="242">
        <v>0.05</v>
      </c>
      <c r="D27" s="242">
        <v>6.8000000000000005E-2</v>
      </c>
      <c r="E27" s="242">
        <v>0.04</v>
      </c>
      <c r="F27" s="242">
        <v>-0.02</v>
      </c>
      <c r="G27" s="243">
        <f t="shared" si="0"/>
        <v>2E-3</v>
      </c>
      <c r="H27" s="243">
        <f t="shared" si="1"/>
        <v>-1.3600000000000001E-3</v>
      </c>
      <c r="J27" s="194">
        <f t="shared" si="3"/>
        <v>3.6000000000000002E-4</v>
      </c>
      <c r="K27" s="194">
        <f t="shared" si="4"/>
        <v>4.0800000000000003E-3</v>
      </c>
      <c r="L27" s="194">
        <f t="shared" si="5"/>
        <v>-1.08E-3</v>
      </c>
      <c r="M27" s="244">
        <f t="shared" si="2"/>
        <v>3.3600000000000001E-3</v>
      </c>
    </row>
    <row r="28" spans="2:13" x14ac:dyDescent="0.25">
      <c r="B28" t="s">
        <v>488</v>
      </c>
      <c r="C28" s="242">
        <v>0.1</v>
      </c>
      <c r="D28" s="242">
        <v>2.4E-2</v>
      </c>
      <c r="E28" s="242">
        <v>2E-3</v>
      </c>
      <c r="F28" s="242">
        <v>0</v>
      </c>
      <c r="G28" s="243">
        <f t="shared" si="0"/>
        <v>2.0000000000000001E-4</v>
      </c>
      <c r="H28" s="243">
        <f t="shared" si="1"/>
        <v>0</v>
      </c>
      <c r="J28" s="194">
        <f t="shared" si="3"/>
        <v>0</v>
      </c>
      <c r="K28" s="194">
        <f t="shared" si="4"/>
        <v>4.8000000000000001E-5</v>
      </c>
      <c r="L28" s="194">
        <f t="shared" si="5"/>
        <v>1.5200000000000004E-4</v>
      </c>
      <c r="M28" s="244">
        <f t="shared" si="2"/>
        <v>2.0000000000000004E-4</v>
      </c>
    </row>
    <row r="29" spans="2:13" x14ac:dyDescent="0.25">
      <c r="B29" t="s">
        <v>489</v>
      </c>
      <c r="C29" s="242">
        <v>0.12</v>
      </c>
      <c r="D29" s="242">
        <v>0.13500000000000001</v>
      </c>
      <c r="E29" s="242">
        <v>0</v>
      </c>
      <c r="F29" s="242">
        <v>0</v>
      </c>
      <c r="G29" s="243">
        <f t="shared" si="0"/>
        <v>0</v>
      </c>
      <c r="H29" s="243">
        <f t="shared" si="1"/>
        <v>0</v>
      </c>
      <c r="J29" s="194">
        <f t="shared" si="3"/>
        <v>0</v>
      </c>
      <c r="K29" s="194">
        <f t="shared" si="4"/>
        <v>0</v>
      </c>
      <c r="L29" s="194">
        <f t="shared" si="5"/>
        <v>0</v>
      </c>
      <c r="M29" s="244">
        <f t="shared" si="2"/>
        <v>0</v>
      </c>
    </row>
    <row r="30" spans="2:13" x14ac:dyDescent="0.25">
      <c r="B30" t="s">
        <v>490</v>
      </c>
      <c r="C30" s="242">
        <v>0.05</v>
      </c>
      <c r="D30" s="242">
        <v>8.4000000000000005E-2</v>
      </c>
      <c r="E30" s="242">
        <v>0</v>
      </c>
      <c r="F30" s="242">
        <v>0</v>
      </c>
      <c r="G30" s="243">
        <f t="shared" si="0"/>
        <v>0</v>
      </c>
      <c r="H30" s="243">
        <f t="shared" si="1"/>
        <v>0</v>
      </c>
      <c r="J30" s="194">
        <f t="shared" si="3"/>
        <v>0</v>
      </c>
      <c r="K30" s="194">
        <f t="shared" si="4"/>
        <v>0</v>
      </c>
      <c r="L30" s="194">
        <f t="shared" si="5"/>
        <v>0</v>
      </c>
      <c r="M30" s="244">
        <f t="shared" si="2"/>
        <v>0</v>
      </c>
    </row>
    <row r="31" spans="2:13" x14ac:dyDescent="0.25">
      <c r="B31" t="s">
        <v>492</v>
      </c>
      <c r="C31" s="242">
        <v>0.05</v>
      </c>
      <c r="D31" s="242">
        <v>8.5999999999999993E-2</v>
      </c>
      <c r="E31" s="242">
        <v>0</v>
      </c>
      <c r="F31" s="242">
        <v>0</v>
      </c>
      <c r="G31" s="243">
        <f t="shared" si="0"/>
        <v>0</v>
      </c>
      <c r="H31" s="243">
        <f t="shared" si="1"/>
        <v>0</v>
      </c>
      <c r="J31" s="194">
        <f t="shared" si="3"/>
        <v>0</v>
      </c>
      <c r="K31" s="194">
        <f t="shared" si="4"/>
        <v>0</v>
      </c>
      <c r="L31" s="194">
        <f t="shared" si="5"/>
        <v>0</v>
      </c>
      <c r="M31" s="244">
        <f t="shared" si="2"/>
        <v>0</v>
      </c>
    </row>
    <row r="32" spans="2:13" x14ac:dyDescent="0.25">
      <c r="J32" s="45"/>
      <c r="K32" s="45"/>
      <c r="L32" s="45"/>
      <c r="M32" s="41"/>
    </row>
    <row r="33" spans="2:13" x14ac:dyDescent="0.25">
      <c r="C33" s="5">
        <f>SUM(C21:C31)</f>
        <v>1.0000000000000002</v>
      </c>
      <c r="D33" s="5">
        <f>SUM(D21:D31)</f>
        <v>1.0009999999999999</v>
      </c>
      <c r="G33" s="243">
        <f>SUM(G21:G31)</f>
        <v>1.3500000000000002E-2</v>
      </c>
      <c r="H33" s="243">
        <f>SUM(H21:H31)</f>
        <v>-6.3379999999999992E-2</v>
      </c>
      <c r="J33" s="194">
        <f>SUM(J21:J31)</f>
        <v>-3.0020000000000012E-2</v>
      </c>
      <c r="K33" s="194">
        <f>SUM(K21:K31)</f>
        <v>7.4903999999999998E-2</v>
      </c>
      <c r="L33" s="194">
        <f>SUM(L21:L31)</f>
        <v>3.1996000000000004E-2</v>
      </c>
      <c r="M33" s="245">
        <f>J33+K33+L33</f>
        <v>7.687999999999999E-2</v>
      </c>
    </row>
    <row r="37" spans="2:13" x14ac:dyDescent="0.25">
      <c r="B37" s="18" t="s">
        <v>503</v>
      </c>
    </row>
    <row r="40" spans="2:13" x14ac:dyDescent="0.25">
      <c r="B40" s="16" t="s">
        <v>509</v>
      </c>
    </row>
    <row r="41" spans="2:13" x14ac:dyDescent="0.25">
      <c r="B41" s="16" t="s">
        <v>510</v>
      </c>
    </row>
    <row r="43" spans="2:13" x14ac:dyDescent="0.25">
      <c r="B43" s="16" t="s">
        <v>511</v>
      </c>
      <c r="C43" s="5"/>
      <c r="D43" s="5"/>
      <c r="E43" s="5"/>
      <c r="F43" s="5"/>
      <c r="G43" s="5"/>
      <c r="I43" s="43"/>
      <c r="K43" s="43"/>
    </row>
    <row r="44" spans="2:13" x14ac:dyDescent="0.25">
      <c r="B44" s="16" t="s">
        <v>512</v>
      </c>
      <c r="C44" s="5"/>
      <c r="D44" s="5"/>
      <c r="E44" s="5"/>
      <c r="F44" s="5"/>
      <c r="G44" s="5"/>
      <c r="I44" s="43"/>
      <c r="K44" s="43"/>
    </row>
    <row r="45" spans="2:13" x14ac:dyDescent="0.25">
      <c r="C45" s="5"/>
      <c r="D45" s="5"/>
      <c r="E45" s="5"/>
      <c r="F45" s="5"/>
      <c r="G45" s="5"/>
      <c r="I45" s="43"/>
      <c r="K45" s="43"/>
    </row>
    <row r="46" spans="2:13" x14ac:dyDescent="0.25">
      <c r="B46" s="16" t="s">
        <v>513</v>
      </c>
      <c r="C46" s="5"/>
      <c r="D46" s="5"/>
      <c r="E46" s="5"/>
      <c r="F46" s="5"/>
      <c r="G46" s="5"/>
      <c r="I46" s="43"/>
      <c r="K46" s="43"/>
    </row>
    <row r="47" spans="2:13" x14ac:dyDescent="0.25">
      <c r="B47" s="47" t="s">
        <v>515</v>
      </c>
      <c r="C47" s="5"/>
      <c r="D47" s="5"/>
      <c r="E47" s="5"/>
      <c r="F47" s="5"/>
      <c r="G47" s="5"/>
      <c r="I47" s="43"/>
      <c r="K47" s="43"/>
    </row>
    <row r="48" spans="2:13" x14ac:dyDescent="0.25">
      <c r="C48" s="5"/>
      <c r="D48" s="5"/>
      <c r="E48" s="5"/>
      <c r="F48" s="5"/>
      <c r="G48" s="5"/>
      <c r="I48" s="43"/>
      <c r="K48" s="43"/>
    </row>
    <row r="49" spans="2:13" x14ac:dyDescent="0.25">
      <c r="B49" s="28"/>
      <c r="C49" s="48"/>
      <c r="D49" s="48"/>
      <c r="E49" s="48"/>
      <c r="F49" s="48"/>
      <c r="G49" s="48"/>
      <c r="H49" s="28"/>
      <c r="I49" s="49"/>
      <c r="J49" s="28"/>
      <c r="K49" s="49"/>
      <c r="L49" s="28"/>
      <c r="M49" s="28"/>
    </row>
    <row r="50" spans="2:13" x14ac:dyDescent="0.25">
      <c r="C50" s="5"/>
      <c r="D50" s="5"/>
      <c r="E50" s="5"/>
      <c r="F50" s="5"/>
      <c r="G50" s="5"/>
      <c r="I50" s="43"/>
      <c r="K50" s="43"/>
    </row>
    <row r="51" spans="2:13" x14ac:dyDescent="0.25">
      <c r="C51" s="5"/>
      <c r="D51" s="5"/>
      <c r="E51" s="5"/>
      <c r="F51" s="5"/>
      <c r="G51" s="5"/>
      <c r="I51" s="43"/>
      <c r="K51" s="43"/>
    </row>
    <row r="52" spans="2:13" x14ac:dyDescent="0.25">
      <c r="B52" s="21" t="s">
        <v>516</v>
      </c>
      <c r="C52" s="5"/>
      <c r="D52" s="5"/>
      <c r="E52" s="5"/>
      <c r="F52" s="5"/>
      <c r="G52" s="5"/>
      <c r="I52" s="43"/>
      <c r="K52" s="43"/>
    </row>
    <row r="54" spans="2:13" x14ac:dyDescent="0.25">
      <c r="B54" s="16" t="s">
        <v>517</v>
      </c>
      <c r="C54" s="5"/>
      <c r="D54" s="5"/>
      <c r="E54" s="5"/>
      <c r="I54" s="43"/>
      <c r="K54" s="43"/>
    </row>
    <row r="55" spans="2:13" x14ac:dyDescent="0.25">
      <c r="B55" t="s">
        <v>518</v>
      </c>
    </row>
    <row r="57" spans="2:13" x14ac:dyDescent="0.25">
      <c r="J57" t="s">
        <v>938</v>
      </c>
    </row>
    <row r="58" spans="2:13" x14ac:dyDescent="0.25">
      <c r="B58" t="s">
        <v>437</v>
      </c>
    </row>
    <row r="59" spans="2:13" x14ac:dyDescent="0.25">
      <c r="C59" t="s">
        <v>494</v>
      </c>
      <c r="D59" t="s">
        <v>495</v>
      </c>
      <c r="E59" t="s">
        <v>497</v>
      </c>
      <c r="F59" t="s">
        <v>499</v>
      </c>
      <c r="G59" t="s">
        <v>501</v>
      </c>
      <c r="H59" t="s">
        <v>502</v>
      </c>
      <c r="J59" s="44" t="s">
        <v>504</v>
      </c>
      <c r="K59" s="44" t="s">
        <v>506</v>
      </c>
      <c r="L59" s="44" t="s">
        <v>507</v>
      </c>
      <c r="M59" s="46" t="s">
        <v>514</v>
      </c>
    </row>
    <row r="60" spans="2:13" x14ac:dyDescent="0.25">
      <c r="B60" t="s">
        <v>482</v>
      </c>
      <c r="C60" t="s">
        <v>493</v>
      </c>
      <c r="D60" t="s">
        <v>493</v>
      </c>
      <c r="E60" t="s">
        <v>496</v>
      </c>
      <c r="F60" t="s">
        <v>500</v>
      </c>
      <c r="G60" t="s">
        <v>496</v>
      </c>
      <c r="H60" t="s">
        <v>496</v>
      </c>
      <c r="J60" s="44" t="s">
        <v>505</v>
      </c>
      <c r="K60" s="44" t="s">
        <v>505</v>
      </c>
      <c r="L60" s="44" t="s">
        <v>505</v>
      </c>
      <c r="M60" s="41"/>
    </row>
    <row r="61" spans="2:13" x14ac:dyDescent="0.25">
      <c r="J61" s="44"/>
      <c r="K61" s="44"/>
      <c r="L61" s="44"/>
      <c r="M61" s="41"/>
    </row>
    <row r="62" spans="2:13" x14ac:dyDescent="0.25">
      <c r="B62" t="s">
        <v>483</v>
      </c>
      <c r="C62" s="242">
        <v>0.06</v>
      </c>
      <c r="D62" s="242">
        <v>2.5000000000000001E-2</v>
      </c>
      <c r="E62" s="242">
        <v>-0.02</v>
      </c>
      <c r="F62" s="242">
        <v>-0.01</v>
      </c>
      <c r="G62" s="243">
        <f t="shared" ref="G62:G72" si="6">C62*E62</f>
        <v>-1.1999999999999999E-3</v>
      </c>
      <c r="H62" s="243">
        <f t="shared" ref="H62:H72" si="7">D62*F62</f>
        <v>-2.5000000000000001E-4</v>
      </c>
      <c r="J62" s="194">
        <f>(C62-D62)*(F62-$H$74)</f>
        <v>1.8682999999999994E-3</v>
      </c>
      <c r="K62" s="194">
        <f>(E62-F62)*D62</f>
        <v>-2.5000000000000001E-4</v>
      </c>
      <c r="L62" s="194">
        <f>(C62-D62)*(E62-F62)</f>
        <v>-3.5E-4</v>
      </c>
      <c r="M62" s="244">
        <f t="shared" ref="M62:M72" si="8">J62+K62+L62</f>
        <v>1.2682999999999993E-3</v>
      </c>
    </row>
    <row r="63" spans="2:13" x14ac:dyDescent="0.25">
      <c r="B63" t="s">
        <v>484</v>
      </c>
      <c r="C63" s="242">
        <v>0.2</v>
      </c>
      <c r="D63" s="242">
        <v>0.123</v>
      </c>
      <c r="E63" s="242">
        <v>-0.04</v>
      </c>
      <c r="F63" s="242">
        <v>-0.5</v>
      </c>
      <c r="G63" s="243">
        <f t="shared" si="6"/>
        <v>-8.0000000000000002E-3</v>
      </c>
      <c r="H63" s="243">
        <f t="shared" si="7"/>
        <v>-6.1499999999999999E-2</v>
      </c>
      <c r="J63" s="194">
        <f t="shared" ref="J63:J72" si="9">(C63-D63)*(F63-$H$74)</f>
        <v>-3.3619740000000009E-2</v>
      </c>
      <c r="K63" s="194">
        <f t="shared" ref="K63:K72" si="10">(E63-F63)*D63</f>
        <v>5.6579999999999998E-2</v>
      </c>
      <c r="L63" s="194">
        <f t="shared" ref="L63:L72" si="11">(C63-D63)*(E63-F63)</f>
        <v>3.5420000000000007E-2</v>
      </c>
      <c r="M63" s="244">
        <f t="shared" si="8"/>
        <v>5.8380259999999996E-2</v>
      </c>
    </row>
    <row r="64" spans="2:13" x14ac:dyDescent="0.25">
      <c r="B64" t="s">
        <v>485</v>
      </c>
      <c r="C64" s="242">
        <v>0.08</v>
      </c>
      <c r="D64" s="242">
        <v>0.107</v>
      </c>
      <c r="E64" s="242">
        <v>0.02</v>
      </c>
      <c r="F64" s="242">
        <v>0.03</v>
      </c>
      <c r="G64" s="243">
        <f t="shared" si="6"/>
        <v>1.6000000000000001E-3</v>
      </c>
      <c r="H64" s="243">
        <f t="shared" si="7"/>
        <v>3.2099999999999997E-3</v>
      </c>
      <c r="J64" s="194">
        <f t="shared" si="9"/>
        <v>-2.5212599999999996E-3</v>
      </c>
      <c r="K64" s="194">
        <f t="shared" si="10"/>
        <v>-1.0699999999999998E-3</v>
      </c>
      <c r="L64" s="194">
        <f t="shared" si="11"/>
        <v>2.699999999999999E-4</v>
      </c>
      <c r="M64" s="244">
        <f t="shared" si="8"/>
        <v>-3.3212599999999995E-3</v>
      </c>
    </row>
    <row r="65" spans="2:13" x14ac:dyDescent="0.25">
      <c r="B65" t="s">
        <v>486</v>
      </c>
      <c r="C65" s="242">
        <v>0.14000000000000001</v>
      </c>
      <c r="D65" s="242">
        <v>2.5999999999999999E-2</v>
      </c>
      <c r="E65" s="242">
        <v>0.08</v>
      </c>
      <c r="F65" s="242">
        <v>0.02</v>
      </c>
      <c r="G65" s="243">
        <f t="shared" si="6"/>
        <v>1.1200000000000002E-2</v>
      </c>
      <c r="H65" s="243">
        <f t="shared" si="7"/>
        <v>5.1999999999999995E-4</v>
      </c>
      <c r="J65" s="194">
        <f t="shared" si="9"/>
        <v>9.5053200000000011E-3</v>
      </c>
      <c r="K65" s="194">
        <f t="shared" si="10"/>
        <v>1.56E-3</v>
      </c>
      <c r="L65" s="194">
        <f t="shared" si="11"/>
        <v>6.8400000000000006E-3</v>
      </c>
      <c r="M65" s="244">
        <f t="shared" si="8"/>
        <v>1.7905320000000002E-2</v>
      </c>
    </row>
    <row r="66" spans="2:13" x14ac:dyDescent="0.25">
      <c r="B66" t="s">
        <v>487</v>
      </c>
      <c r="C66" s="242">
        <v>0.1</v>
      </c>
      <c r="D66" s="242">
        <v>4.1000000000000002E-2</v>
      </c>
      <c r="E66" s="242">
        <v>6.4000000000000001E-2</v>
      </c>
      <c r="F66" s="242">
        <v>0.04</v>
      </c>
      <c r="G66" s="243">
        <f t="shared" si="6"/>
        <v>6.4000000000000003E-3</v>
      </c>
      <c r="H66" s="243">
        <f t="shared" si="7"/>
        <v>1.6400000000000002E-3</v>
      </c>
      <c r="J66" s="194">
        <f t="shared" si="9"/>
        <v>6.0994200000000004E-3</v>
      </c>
      <c r="K66" s="194">
        <f t="shared" si="10"/>
        <v>9.8400000000000007E-4</v>
      </c>
      <c r="L66" s="194">
        <f t="shared" si="11"/>
        <v>1.4160000000000002E-3</v>
      </c>
      <c r="M66" s="244">
        <f t="shared" si="8"/>
        <v>8.4994200000000006E-3</v>
      </c>
    </row>
    <row r="67" spans="2:13" x14ac:dyDescent="0.25">
      <c r="B67" t="s">
        <v>491</v>
      </c>
      <c r="C67" s="242">
        <v>0.05</v>
      </c>
      <c r="D67" s="242">
        <v>0.28199999999999997</v>
      </c>
      <c r="E67" s="242">
        <v>2.5999999999999999E-2</v>
      </c>
      <c r="F67" s="242">
        <v>-0.02</v>
      </c>
      <c r="G67" s="243">
        <f t="shared" si="6"/>
        <v>1.2999999999999999E-3</v>
      </c>
      <c r="H67" s="243">
        <f t="shared" si="7"/>
        <v>-5.6399999999999992E-3</v>
      </c>
      <c r="J67" s="194">
        <f t="shared" si="9"/>
        <v>-1.0064159999999997E-2</v>
      </c>
      <c r="K67" s="194">
        <f t="shared" si="10"/>
        <v>1.2971999999999999E-2</v>
      </c>
      <c r="L67" s="194">
        <f t="shared" si="11"/>
        <v>-1.0671999999999999E-2</v>
      </c>
      <c r="M67" s="244">
        <f t="shared" si="8"/>
        <v>-7.7641599999999974E-3</v>
      </c>
    </row>
    <row r="68" spans="2:13" x14ac:dyDescent="0.25">
      <c r="B68" t="s">
        <v>498</v>
      </c>
      <c r="C68" s="242">
        <v>0.05</v>
      </c>
      <c r="D68" s="242">
        <v>6.8000000000000005E-2</v>
      </c>
      <c r="E68" s="242">
        <v>0.04</v>
      </c>
      <c r="F68" s="242">
        <v>-0.02</v>
      </c>
      <c r="G68" s="243">
        <f t="shared" si="6"/>
        <v>2E-3</v>
      </c>
      <c r="H68" s="243">
        <f t="shared" si="7"/>
        <v>-1.3600000000000001E-3</v>
      </c>
      <c r="J68" s="194">
        <f t="shared" si="9"/>
        <v>-7.8083999999999988E-4</v>
      </c>
      <c r="K68" s="194">
        <f t="shared" si="10"/>
        <v>4.0800000000000003E-3</v>
      </c>
      <c r="L68" s="194">
        <f t="shared" si="11"/>
        <v>-1.08E-3</v>
      </c>
      <c r="M68" s="244">
        <f t="shared" si="8"/>
        <v>2.2191600000000004E-3</v>
      </c>
    </row>
    <row r="69" spans="2:13" x14ac:dyDescent="0.25">
      <c r="B69" t="s">
        <v>488</v>
      </c>
      <c r="C69" s="242">
        <v>0.1</v>
      </c>
      <c r="D69" s="242">
        <v>2.4E-2</v>
      </c>
      <c r="E69" s="242">
        <v>2E-3</v>
      </c>
      <c r="F69" s="242">
        <v>0</v>
      </c>
      <c r="G69" s="243">
        <f t="shared" si="6"/>
        <v>2.0000000000000001E-4</v>
      </c>
      <c r="H69" s="243">
        <f t="shared" si="7"/>
        <v>0</v>
      </c>
      <c r="J69" s="194">
        <f t="shared" si="9"/>
        <v>4.8168799999999999E-3</v>
      </c>
      <c r="K69" s="194">
        <f t="shared" si="10"/>
        <v>4.8000000000000001E-5</v>
      </c>
      <c r="L69" s="194">
        <f t="shared" si="11"/>
        <v>1.5200000000000004E-4</v>
      </c>
      <c r="M69" s="244">
        <f t="shared" si="8"/>
        <v>5.0168800000000005E-3</v>
      </c>
    </row>
    <row r="70" spans="2:13" x14ac:dyDescent="0.25">
      <c r="B70" t="s">
        <v>489</v>
      </c>
      <c r="C70" s="242">
        <v>0.12</v>
      </c>
      <c r="D70" s="242">
        <v>0.13500000000000001</v>
      </c>
      <c r="E70" s="242">
        <v>0</v>
      </c>
      <c r="F70" s="242">
        <v>0</v>
      </c>
      <c r="G70" s="243">
        <f t="shared" si="6"/>
        <v>0</v>
      </c>
      <c r="H70" s="243">
        <f t="shared" si="7"/>
        <v>0</v>
      </c>
      <c r="J70" s="194">
        <f t="shared" si="9"/>
        <v>-9.5070000000000072E-4</v>
      </c>
      <c r="K70" s="194">
        <f t="shared" si="10"/>
        <v>0</v>
      </c>
      <c r="L70" s="194">
        <f t="shared" si="11"/>
        <v>0</v>
      </c>
      <c r="M70" s="244">
        <f t="shared" si="8"/>
        <v>-9.5070000000000072E-4</v>
      </c>
    </row>
    <row r="71" spans="2:13" x14ac:dyDescent="0.25">
      <c r="B71" t="s">
        <v>490</v>
      </c>
      <c r="C71" s="242">
        <v>0.05</v>
      </c>
      <c r="D71" s="242">
        <v>8.4000000000000005E-2</v>
      </c>
      <c r="E71" s="242">
        <v>0</v>
      </c>
      <c r="F71" s="242">
        <v>0</v>
      </c>
      <c r="G71" s="243">
        <f t="shared" si="6"/>
        <v>0</v>
      </c>
      <c r="H71" s="243">
        <f t="shared" si="7"/>
        <v>0</v>
      </c>
      <c r="J71" s="194">
        <f t="shared" si="9"/>
        <v>-2.1549199999999998E-3</v>
      </c>
      <c r="K71" s="194">
        <f t="shared" si="10"/>
        <v>0</v>
      </c>
      <c r="L71" s="194">
        <f t="shared" si="11"/>
        <v>0</v>
      </c>
      <c r="M71" s="244">
        <f t="shared" si="8"/>
        <v>-2.1549199999999998E-3</v>
      </c>
    </row>
    <row r="72" spans="2:13" x14ac:dyDescent="0.25">
      <c r="B72" t="s">
        <v>492</v>
      </c>
      <c r="C72" s="242">
        <v>0.05</v>
      </c>
      <c r="D72" s="242">
        <v>8.5999999999999993E-2</v>
      </c>
      <c r="E72" s="242">
        <v>0</v>
      </c>
      <c r="F72" s="242">
        <v>0</v>
      </c>
      <c r="G72" s="243">
        <f t="shared" si="6"/>
        <v>0</v>
      </c>
      <c r="H72" s="243">
        <f t="shared" si="7"/>
        <v>0</v>
      </c>
      <c r="J72" s="194">
        <f t="shared" si="9"/>
        <v>-2.281679999999999E-3</v>
      </c>
      <c r="K72" s="194">
        <f t="shared" si="10"/>
        <v>0</v>
      </c>
      <c r="L72" s="194">
        <f t="shared" si="11"/>
        <v>0</v>
      </c>
      <c r="M72" s="244">
        <f t="shared" si="8"/>
        <v>-2.281679999999999E-3</v>
      </c>
    </row>
    <row r="73" spans="2:13" x14ac:dyDescent="0.25">
      <c r="J73" s="45"/>
      <c r="K73" s="45"/>
      <c r="L73" s="45"/>
      <c r="M73" s="41"/>
    </row>
    <row r="74" spans="2:13" x14ac:dyDescent="0.25">
      <c r="C74" s="5">
        <f>SUM(C62:C72)</f>
        <v>1.0000000000000002</v>
      </c>
      <c r="D74" s="5">
        <f>SUM(D62:D72)</f>
        <v>1.0009999999999999</v>
      </c>
      <c r="G74" s="243">
        <f>SUM(G62:G72)</f>
        <v>1.3500000000000002E-2</v>
      </c>
      <c r="H74" s="243">
        <f>SUM(H62:H72)</f>
        <v>-6.3379999999999992E-2</v>
      </c>
      <c r="J74" s="194">
        <f>SUM(J62:J72)</f>
        <v>-3.008338000000001E-2</v>
      </c>
      <c r="K74" s="194">
        <f>SUM(K62:K72)</f>
        <v>7.4903999999999998E-2</v>
      </c>
      <c r="L74" s="194">
        <f>SUM(L62:L72)</f>
        <v>3.1996000000000004E-2</v>
      </c>
      <c r="M74" s="245">
        <f>J74+K74+L74</f>
        <v>7.6816620000000002E-2</v>
      </c>
    </row>
    <row r="78" spans="2:13" x14ac:dyDescent="0.25"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</row>
    <row r="80" spans="2:13" x14ac:dyDescent="0.25">
      <c r="B80" s="25" t="s">
        <v>939</v>
      </c>
    </row>
    <row r="81" spans="2:14" x14ac:dyDescent="0.25">
      <c r="D81" t="s">
        <v>615</v>
      </c>
      <c r="H81" t="s">
        <v>616</v>
      </c>
      <c r="L81" t="s">
        <v>617</v>
      </c>
    </row>
    <row r="83" spans="2:14" x14ac:dyDescent="0.25">
      <c r="C83" s="42" t="s">
        <v>621</v>
      </c>
      <c r="D83" s="42" t="s">
        <v>622</v>
      </c>
      <c r="E83" s="42" t="s">
        <v>623</v>
      </c>
      <c r="F83" s="79" t="s">
        <v>514</v>
      </c>
      <c r="G83" s="42" t="s">
        <v>621</v>
      </c>
      <c r="H83" s="42" t="s">
        <v>622</v>
      </c>
      <c r="I83" s="42" t="s">
        <v>623</v>
      </c>
      <c r="J83" s="79" t="s">
        <v>514</v>
      </c>
      <c r="K83" s="42" t="s">
        <v>621</v>
      </c>
      <c r="L83" s="42" t="s">
        <v>622</v>
      </c>
      <c r="M83" s="42" t="s">
        <v>623</v>
      </c>
      <c r="N83" s="79" t="s">
        <v>514</v>
      </c>
    </row>
    <row r="84" spans="2:14" x14ac:dyDescent="0.25">
      <c r="B84" t="s">
        <v>618</v>
      </c>
      <c r="C84" s="242">
        <v>0.2</v>
      </c>
      <c r="D84" s="242">
        <v>0.2</v>
      </c>
      <c r="E84" s="242">
        <v>0.15</v>
      </c>
      <c r="F84" s="251">
        <f>C84+D84+E84</f>
        <v>0.55000000000000004</v>
      </c>
      <c r="G84" s="247">
        <v>1.2</v>
      </c>
      <c r="H84" s="247">
        <v>7.3</v>
      </c>
      <c r="I84" s="247">
        <v>8.4</v>
      </c>
      <c r="J84" s="253">
        <f>(C84/F84*G84)+(D84/F84*H84)+(E84/F84*I84)</f>
        <v>5.3818181818181827</v>
      </c>
      <c r="K84" s="257">
        <f>C84*G84</f>
        <v>0.24</v>
      </c>
      <c r="L84" s="257">
        <f t="shared" ref="L84:N84" si="12">D84*H84</f>
        <v>1.46</v>
      </c>
      <c r="M84" s="257">
        <f t="shared" si="12"/>
        <v>1.26</v>
      </c>
      <c r="N84" s="258">
        <f t="shared" si="12"/>
        <v>2.9600000000000009</v>
      </c>
    </row>
    <row r="85" spans="2:14" x14ac:dyDescent="0.25">
      <c r="B85" t="s">
        <v>619</v>
      </c>
      <c r="C85" s="242">
        <v>0.15</v>
      </c>
      <c r="D85" s="242">
        <v>0.1</v>
      </c>
      <c r="E85" s="242">
        <v>0.05</v>
      </c>
      <c r="F85" s="251">
        <f t="shared" ref="F85:F86" si="13">C85+D85+E85</f>
        <v>0.3</v>
      </c>
      <c r="G85" s="247">
        <v>1.4</v>
      </c>
      <c r="H85" s="247">
        <v>6.9</v>
      </c>
      <c r="I85" s="247">
        <v>8.3000000000000007</v>
      </c>
      <c r="J85" s="253">
        <f t="shared" ref="J85:J86" si="14">(C85/F85*G85)+(D85/F85*H85)+(E85/F85*I85)</f>
        <v>4.3833333333333337</v>
      </c>
      <c r="K85" s="257">
        <f t="shared" ref="K85:K86" si="15">C85*G85</f>
        <v>0.21</v>
      </c>
      <c r="L85" s="257">
        <f t="shared" ref="L85:L86" si="16">D85*H85</f>
        <v>0.69000000000000006</v>
      </c>
      <c r="M85" s="257">
        <f t="shared" ref="M85:N86" si="17">E85*I85</f>
        <v>0.41500000000000004</v>
      </c>
      <c r="N85" s="258">
        <f t="shared" si="17"/>
        <v>1.3150000000000002</v>
      </c>
    </row>
    <row r="86" spans="2:14" x14ac:dyDescent="0.25">
      <c r="B86" t="s">
        <v>620</v>
      </c>
      <c r="C86" s="246">
        <v>0.05</v>
      </c>
      <c r="D86" s="246">
        <v>0.05</v>
      </c>
      <c r="E86" s="246">
        <v>0.05</v>
      </c>
      <c r="F86" s="252">
        <f t="shared" si="13"/>
        <v>0.15000000000000002</v>
      </c>
      <c r="G86" s="248">
        <v>1.4</v>
      </c>
      <c r="H86" s="248">
        <v>7.2</v>
      </c>
      <c r="I86" s="248">
        <v>8.6</v>
      </c>
      <c r="J86" s="254">
        <f t="shared" si="14"/>
        <v>5.7333333333333325</v>
      </c>
      <c r="K86" s="259">
        <f t="shared" si="15"/>
        <v>6.9999999999999993E-2</v>
      </c>
      <c r="L86" s="259">
        <f t="shared" si="16"/>
        <v>0.36000000000000004</v>
      </c>
      <c r="M86" s="259">
        <f t="shared" si="17"/>
        <v>0.43</v>
      </c>
      <c r="N86" s="260">
        <f t="shared" si="17"/>
        <v>0.86</v>
      </c>
    </row>
    <row r="87" spans="2:14" x14ac:dyDescent="0.25">
      <c r="B87" t="s">
        <v>514</v>
      </c>
      <c r="C87" s="5">
        <f>SUM(C84:C86)</f>
        <v>0.39999999999999997</v>
      </c>
      <c r="D87" s="5">
        <f>SUM(D84:D86)</f>
        <v>0.35000000000000003</v>
      </c>
      <c r="E87" s="5">
        <f t="shared" ref="E87:F87" si="18">SUM(E84:E86)</f>
        <v>0.25</v>
      </c>
      <c r="F87" s="251">
        <f t="shared" si="18"/>
        <v>1</v>
      </c>
      <c r="G87" s="77">
        <f>(G84*C84/C87)+(G85*C85/C87)+(G86*C86/C87)</f>
        <v>1.3</v>
      </c>
      <c r="H87" s="77">
        <f>(H84*D84/D87)+(H85*D85/D87)+(H86*D86/D87)</f>
        <v>7.1714285714285708</v>
      </c>
      <c r="I87" s="77">
        <f>(I84*E84/E87)+(I85*E85/E87)+(I86*E86/E87)</f>
        <v>8.42</v>
      </c>
      <c r="J87" s="253">
        <f>(C87/F87*G87)+(D87/F87*H87)+(E87/F87*I87)</f>
        <v>5.1349999999999998</v>
      </c>
      <c r="K87" s="261">
        <f>SUM(K84:K86)</f>
        <v>0.51999999999999991</v>
      </c>
      <c r="L87" s="261">
        <f>SUM(L84:L86)</f>
        <v>2.5099999999999998</v>
      </c>
      <c r="M87" s="261">
        <f t="shared" ref="M87" si="19">SUM(M84:M86)</f>
        <v>2.105</v>
      </c>
      <c r="N87" s="262">
        <f t="shared" ref="N87" si="20">SUM(N84:N86)</f>
        <v>5.1350000000000016</v>
      </c>
    </row>
    <row r="91" spans="2:14" x14ac:dyDescent="0.25">
      <c r="D91" t="s">
        <v>624</v>
      </c>
      <c r="H91" t="s">
        <v>625</v>
      </c>
      <c r="L91" t="s">
        <v>626</v>
      </c>
    </row>
    <row r="93" spans="2:14" x14ac:dyDescent="0.25">
      <c r="C93" s="42" t="s">
        <v>621</v>
      </c>
      <c r="D93" s="42" t="s">
        <v>622</v>
      </c>
      <c r="E93" s="42" t="s">
        <v>623</v>
      </c>
      <c r="F93" s="79" t="s">
        <v>514</v>
      </c>
      <c r="G93" s="42" t="s">
        <v>621</v>
      </c>
      <c r="H93" s="42" t="s">
        <v>622</v>
      </c>
      <c r="I93" s="42" t="s">
        <v>623</v>
      </c>
      <c r="J93" s="79" t="s">
        <v>514</v>
      </c>
      <c r="K93" s="42" t="s">
        <v>621</v>
      </c>
      <c r="L93" s="42" t="s">
        <v>622</v>
      </c>
      <c r="M93" s="42" t="s">
        <v>623</v>
      </c>
      <c r="N93" s="79" t="s">
        <v>514</v>
      </c>
    </row>
    <row r="94" spans="2:14" x14ac:dyDescent="0.25">
      <c r="B94" t="s">
        <v>618</v>
      </c>
      <c r="C94" s="242">
        <v>0.25</v>
      </c>
      <c r="D94" s="242">
        <v>0.15</v>
      </c>
      <c r="E94" s="242">
        <v>0.05</v>
      </c>
      <c r="F94" s="251">
        <f>C94+D94+E94</f>
        <v>0.45</v>
      </c>
      <c r="G94" s="247">
        <v>1.2</v>
      </c>
      <c r="H94" s="247">
        <v>7.3</v>
      </c>
      <c r="I94" s="247">
        <v>8</v>
      </c>
      <c r="J94" s="253">
        <f>(C94/F94*G94)+(D94/F94*H94)+(E94/F94*I94)</f>
        <v>3.9888888888888885</v>
      </c>
      <c r="K94" s="257">
        <f>C94*G94</f>
        <v>0.3</v>
      </c>
      <c r="L94" s="257">
        <f t="shared" ref="L94:L96" si="21">D94*H94</f>
        <v>1.095</v>
      </c>
      <c r="M94" s="257">
        <f t="shared" ref="M94:M96" si="22">E94*I94</f>
        <v>0.4</v>
      </c>
      <c r="N94" s="258">
        <f t="shared" ref="N94:N96" si="23">F94*J94</f>
        <v>1.7949999999999999</v>
      </c>
    </row>
    <row r="95" spans="2:14" x14ac:dyDescent="0.25">
      <c r="B95" t="s">
        <v>619</v>
      </c>
      <c r="C95" s="242">
        <v>0.31</v>
      </c>
      <c r="D95" s="242">
        <v>0.14000000000000001</v>
      </c>
      <c r="E95" s="242">
        <v>0.05</v>
      </c>
      <c r="F95" s="251">
        <f t="shared" ref="F95:F96" si="24">C95+D95+E95</f>
        <v>0.5</v>
      </c>
      <c r="G95" s="247">
        <v>1.4</v>
      </c>
      <c r="H95" s="247">
        <v>6.9</v>
      </c>
      <c r="I95" s="247">
        <v>7.9</v>
      </c>
      <c r="J95" s="253">
        <f t="shared" ref="J95:J96" si="25">(C95/F95*G95)+(D95/F95*H95)+(E95/F95*I95)</f>
        <v>3.5900000000000003</v>
      </c>
      <c r="K95" s="257">
        <f t="shared" ref="K95:K96" si="26">C95*G95</f>
        <v>0.434</v>
      </c>
      <c r="L95" s="257">
        <f t="shared" si="21"/>
        <v>0.96600000000000019</v>
      </c>
      <c r="M95" s="257">
        <f t="shared" si="22"/>
        <v>0.39500000000000002</v>
      </c>
      <c r="N95" s="258">
        <f t="shared" si="23"/>
        <v>1.7950000000000002</v>
      </c>
    </row>
    <row r="96" spans="2:14" x14ac:dyDescent="0.25">
      <c r="B96" t="s">
        <v>620</v>
      </c>
      <c r="C96" s="246">
        <v>0</v>
      </c>
      <c r="D96" s="246">
        <v>0</v>
      </c>
      <c r="E96" s="246">
        <v>0.05</v>
      </c>
      <c r="F96" s="252">
        <f t="shared" si="24"/>
        <v>0.05</v>
      </c>
      <c r="G96" s="248">
        <v>1.4</v>
      </c>
      <c r="H96" s="248">
        <v>7.2</v>
      </c>
      <c r="I96" s="248">
        <v>8.1</v>
      </c>
      <c r="J96" s="254">
        <f t="shared" si="25"/>
        <v>8.1</v>
      </c>
      <c r="K96" s="259">
        <f t="shared" si="26"/>
        <v>0</v>
      </c>
      <c r="L96" s="259">
        <f t="shared" si="21"/>
        <v>0</v>
      </c>
      <c r="M96" s="259">
        <f t="shared" si="22"/>
        <v>0.40500000000000003</v>
      </c>
      <c r="N96" s="260">
        <f t="shared" si="23"/>
        <v>0.40500000000000003</v>
      </c>
    </row>
    <row r="97" spans="2:14" x14ac:dyDescent="0.25">
      <c r="B97" t="s">
        <v>514</v>
      </c>
      <c r="C97" s="5">
        <f>SUM(C94:C96)</f>
        <v>0.56000000000000005</v>
      </c>
      <c r="D97" s="5">
        <f>SUM(D94:D96)</f>
        <v>0.29000000000000004</v>
      </c>
      <c r="E97" s="5">
        <f t="shared" ref="E97" si="27">SUM(E94:E96)</f>
        <v>0.15000000000000002</v>
      </c>
      <c r="F97" s="251">
        <f t="shared" ref="F97" si="28">SUM(F94:F96)</f>
        <v>1</v>
      </c>
      <c r="G97" s="77">
        <f>(G94*C94/C97)+(G95*C95/C97)+(G96*C96/C97)</f>
        <v>1.3107142857142855</v>
      </c>
      <c r="H97" s="77">
        <f>(H94*D94/D97)+(H95*D95/D97)+(H96*D96/D97)</f>
        <v>7.1068965517241374</v>
      </c>
      <c r="I97" s="77">
        <f>(I94*E94/E97)+(I95*E95/E97)+(I96*E96/E97)</f>
        <v>7.9999999999999982</v>
      </c>
      <c r="J97" s="253">
        <f>(C97/F97*G97)+(D97/F97*H97)+(E97/F97*I97)</f>
        <v>3.9950000000000001</v>
      </c>
      <c r="K97" s="261">
        <f>SUM(K94:K96)</f>
        <v>0.73399999999999999</v>
      </c>
      <c r="L97" s="261">
        <f>SUM(L94:L96)</f>
        <v>2.0609999999999999</v>
      </c>
      <c r="M97" s="261">
        <f t="shared" ref="M97" si="29">SUM(M94:M96)</f>
        <v>1.2000000000000002</v>
      </c>
      <c r="N97" s="262">
        <f t="shared" ref="N97" si="30">SUM(N94:N96)</f>
        <v>3.9950000000000001</v>
      </c>
    </row>
    <row r="101" spans="2:14" x14ac:dyDescent="0.25">
      <c r="D101" t="s">
        <v>615</v>
      </c>
      <c r="H101" t="s">
        <v>627</v>
      </c>
      <c r="L101" t="s">
        <v>628</v>
      </c>
    </row>
    <row r="103" spans="2:14" x14ac:dyDescent="0.25">
      <c r="C103" s="42" t="s">
        <v>621</v>
      </c>
      <c r="D103" s="42" t="s">
        <v>622</v>
      </c>
      <c r="E103" s="42" t="s">
        <v>623</v>
      </c>
      <c r="F103" s="79" t="s">
        <v>514</v>
      </c>
      <c r="G103" s="42" t="s">
        <v>621</v>
      </c>
      <c r="H103" s="42" t="s">
        <v>622</v>
      </c>
      <c r="I103" s="42" t="s">
        <v>623</v>
      </c>
      <c r="J103" s="79" t="s">
        <v>514</v>
      </c>
      <c r="K103" s="42" t="s">
        <v>621</v>
      </c>
      <c r="L103" s="42" t="s">
        <v>622</v>
      </c>
      <c r="M103" s="42" t="s">
        <v>623</v>
      </c>
      <c r="N103" s="79" t="s">
        <v>514</v>
      </c>
    </row>
    <row r="104" spans="2:14" x14ac:dyDescent="0.25">
      <c r="B104" t="s">
        <v>618</v>
      </c>
      <c r="C104" s="242">
        <v>0.2</v>
      </c>
      <c r="D104" s="242">
        <v>0.2</v>
      </c>
      <c r="E104" s="242">
        <v>0.15</v>
      </c>
      <c r="F104" s="251">
        <f>C104+D104+E104</f>
        <v>0.55000000000000004</v>
      </c>
      <c r="G104" s="249">
        <v>2.1000000000000001E-2</v>
      </c>
      <c r="H104" s="249">
        <v>2.18E-2</v>
      </c>
      <c r="I104" s="249">
        <v>2.1600000000000001E-2</v>
      </c>
      <c r="J104" s="255">
        <f>(C104/F104*G104)+(D104/F104*H104)+(E104/F104*I104)</f>
        <v>2.1454545454545455E-2</v>
      </c>
      <c r="K104" s="263">
        <f>C104*G104</f>
        <v>4.2000000000000006E-3</v>
      </c>
      <c r="L104" s="263">
        <f t="shared" ref="L104:L106" si="31">D104*H104</f>
        <v>4.3600000000000002E-3</v>
      </c>
      <c r="M104" s="263">
        <f t="shared" ref="M104:M106" si="32">E104*I104</f>
        <v>3.2400000000000003E-3</v>
      </c>
      <c r="N104" s="255">
        <f t="shared" ref="N104:N106" si="33">F104*J104</f>
        <v>1.1800000000000001E-2</v>
      </c>
    </row>
    <row r="105" spans="2:14" x14ac:dyDescent="0.25">
      <c r="B105" t="s">
        <v>619</v>
      </c>
      <c r="C105" s="242">
        <v>0.15</v>
      </c>
      <c r="D105" s="242">
        <v>0.1</v>
      </c>
      <c r="E105" s="242">
        <v>0.05</v>
      </c>
      <c r="F105" s="251">
        <f t="shared" ref="F105:F106" si="34">C105+D105+E105</f>
        <v>0.3</v>
      </c>
      <c r="G105" s="249">
        <v>0.03</v>
      </c>
      <c r="H105" s="249">
        <v>2.76E-2</v>
      </c>
      <c r="I105" s="249">
        <v>2.9000000000000001E-2</v>
      </c>
      <c r="J105" s="255">
        <f t="shared" ref="J105:J106" si="35">(C105/F105*G105)+(D105/F105*H105)+(E105/F105*I105)</f>
        <v>2.9033333333333335E-2</v>
      </c>
      <c r="K105" s="263">
        <f t="shared" ref="K105:K106" si="36">C105*G105</f>
        <v>4.4999999999999997E-3</v>
      </c>
      <c r="L105" s="263">
        <f t="shared" si="31"/>
        <v>2.7600000000000003E-3</v>
      </c>
      <c r="M105" s="263">
        <f t="shared" si="32"/>
        <v>1.4500000000000001E-3</v>
      </c>
      <c r="N105" s="255">
        <f t="shared" si="33"/>
        <v>8.7100000000000007E-3</v>
      </c>
    </row>
    <row r="106" spans="2:14" x14ac:dyDescent="0.25">
      <c r="B106" t="s">
        <v>620</v>
      </c>
      <c r="C106" s="246">
        <v>0.05</v>
      </c>
      <c r="D106" s="246">
        <v>0.05</v>
      </c>
      <c r="E106" s="246">
        <v>0.05</v>
      </c>
      <c r="F106" s="252">
        <f t="shared" si="34"/>
        <v>0.15000000000000002</v>
      </c>
      <c r="G106" s="250">
        <v>2.5499999999999998E-2</v>
      </c>
      <c r="H106" s="250">
        <v>2.3300000000000001E-2</v>
      </c>
      <c r="I106" s="250">
        <v>2.4199999999999999E-2</v>
      </c>
      <c r="J106" s="256">
        <f t="shared" si="35"/>
        <v>2.4333333333333332E-2</v>
      </c>
      <c r="K106" s="264">
        <f t="shared" si="36"/>
        <v>1.2750000000000001E-3</v>
      </c>
      <c r="L106" s="264">
        <f t="shared" si="31"/>
        <v>1.165E-3</v>
      </c>
      <c r="M106" s="264">
        <f t="shared" si="32"/>
        <v>1.2100000000000001E-3</v>
      </c>
      <c r="N106" s="256">
        <f t="shared" si="33"/>
        <v>3.6500000000000005E-3</v>
      </c>
    </row>
    <row r="107" spans="2:14" x14ac:dyDescent="0.25">
      <c r="B107" t="s">
        <v>514</v>
      </c>
      <c r="C107" s="5">
        <f>SUM(C104:C106)</f>
        <v>0.39999999999999997</v>
      </c>
      <c r="D107" s="5">
        <f>SUM(D104:D106)</f>
        <v>0.35000000000000003</v>
      </c>
      <c r="E107" s="5">
        <f t="shared" ref="E107" si="37">SUM(E104:E106)</f>
        <v>0.25</v>
      </c>
      <c r="F107" s="251">
        <f t="shared" ref="F107" si="38">SUM(F104:F106)</f>
        <v>1</v>
      </c>
      <c r="G107" s="80">
        <f>(G104*C104/C107)+(G105*C105/C107)+(G106*C106/C107)</f>
        <v>2.4937500000000001E-2</v>
      </c>
      <c r="H107" s="80">
        <f>(H104*D104/D107)+(H105*D105/D107)+(H106*D106/D107)</f>
        <v>2.3671428571428569E-2</v>
      </c>
      <c r="I107" s="80">
        <f>(I104*E104/E107)+(I105*E105/E107)+(I106*E106/E107)</f>
        <v>2.3600000000000003E-2</v>
      </c>
      <c r="J107" s="255">
        <f>(C107/F107*G107)+(D107/F107*H107)+(E107/F107*I107)</f>
        <v>2.4160000000000001E-2</v>
      </c>
      <c r="K107" s="263">
        <f>SUM(K104:K106)</f>
        <v>9.9749999999999995E-3</v>
      </c>
      <c r="L107" s="263">
        <f>SUM(L104:L106)</f>
        <v>8.2850000000000007E-3</v>
      </c>
      <c r="M107" s="263">
        <f t="shared" ref="M107" si="39">SUM(M104:M106)</f>
        <v>5.9000000000000007E-3</v>
      </c>
      <c r="N107" s="255">
        <f>SUM(N104:N106)</f>
        <v>2.4160000000000001E-2</v>
      </c>
    </row>
    <row r="108" spans="2:14" x14ac:dyDescent="0.25">
      <c r="K108" s="73"/>
      <c r="L108" s="73"/>
      <c r="M108" s="73"/>
    </row>
    <row r="111" spans="2:14" x14ac:dyDescent="0.25">
      <c r="D111" t="s">
        <v>624</v>
      </c>
      <c r="H111" t="s">
        <v>432</v>
      </c>
      <c r="L111" t="s">
        <v>629</v>
      </c>
    </row>
    <row r="113" spans="2:14" x14ac:dyDescent="0.25">
      <c r="C113" s="42" t="s">
        <v>621</v>
      </c>
      <c r="D113" s="42" t="s">
        <v>622</v>
      </c>
      <c r="E113" s="42" t="s">
        <v>623</v>
      </c>
      <c r="F113" s="79" t="s">
        <v>514</v>
      </c>
      <c r="G113" s="42" t="s">
        <v>621</v>
      </c>
      <c r="H113" s="42" t="s">
        <v>622</v>
      </c>
      <c r="I113" s="42" t="s">
        <v>623</v>
      </c>
      <c r="J113" s="79" t="s">
        <v>514</v>
      </c>
      <c r="K113" s="42" t="s">
        <v>621</v>
      </c>
      <c r="L113" s="42" t="s">
        <v>622</v>
      </c>
      <c r="M113" s="42" t="s">
        <v>623</v>
      </c>
      <c r="N113" s="79" t="s">
        <v>514</v>
      </c>
    </row>
    <row r="114" spans="2:14" x14ac:dyDescent="0.25">
      <c r="B114" t="s">
        <v>618</v>
      </c>
      <c r="C114" s="242">
        <v>0.25</v>
      </c>
      <c r="D114" s="242">
        <v>0.15</v>
      </c>
      <c r="E114" s="242">
        <v>0.05</v>
      </c>
      <c r="F114" s="251">
        <f>C114+D114+E114</f>
        <v>0.45</v>
      </c>
      <c r="G114" s="249">
        <v>2.1000000000000001E-2</v>
      </c>
      <c r="H114" s="249">
        <v>2.18E-2</v>
      </c>
      <c r="I114" s="249">
        <v>2.1399999999999999E-2</v>
      </c>
      <c r="J114" s="255">
        <f>(C114/F114*G114)+(D114/F114*H114)+(E114/F114*I114)</f>
        <v>2.1311111111111111E-2</v>
      </c>
      <c r="K114" s="263">
        <f>C114*G114</f>
        <v>5.2500000000000003E-3</v>
      </c>
      <c r="L114" s="263">
        <f t="shared" ref="L114:L116" si="40">D114*H114</f>
        <v>3.2699999999999999E-3</v>
      </c>
      <c r="M114" s="263">
        <f t="shared" ref="M114:M116" si="41">E114*I114</f>
        <v>1.07E-3</v>
      </c>
      <c r="N114" s="255">
        <f t="shared" ref="N114:N116" si="42">F114*J114</f>
        <v>9.5899999999999996E-3</v>
      </c>
    </row>
    <row r="115" spans="2:14" x14ac:dyDescent="0.25">
      <c r="B115" t="s">
        <v>619</v>
      </c>
      <c r="C115" s="242">
        <v>0.31</v>
      </c>
      <c r="D115" s="242">
        <v>0.14000000000000001</v>
      </c>
      <c r="E115" s="242">
        <v>0.05</v>
      </c>
      <c r="F115" s="251">
        <f t="shared" ref="F115:F116" si="43">C115+D115+E115</f>
        <v>0.5</v>
      </c>
      <c r="G115" s="249">
        <v>0.03</v>
      </c>
      <c r="H115" s="249">
        <v>2.76E-2</v>
      </c>
      <c r="I115" s="249">
        <v>2.9000000000000001E-2</v>
      </c>
      <c r="J115" s="255">
        <f t="shared" ref="J115:J116" si="44">(C115/F115*G115)+(D115/F115*H115)+(E115/F115*I115)</f>
        <v>2.9227999999999997E-2</v>
      </c>
      <c r="K115" s="263">
        <f t="shared" ref="K115:K116" si="45">C115*G115</f>
        <v>9.2999999999999992E-3</v>
      </c>
      <c r="L115" s="263">
        <f t="shared" si="40"/>
        <v>3.8640000000000002E-3</v>
      </c>
      <c r="M115" s="263">
        <f t="shared" si="41"/>
        <v>1.4500000000000001E-3</v>
      </c>
      <c r="N115" s="255">
        <f t="shared" si="42"/>
        <v>1.4613999999999999E-2</v>
      </c>
    </row>
    <row r="116" spans="2:14" x14ac:dyDescent="0.25">
      <c r="B116" t="s">
        <v>620</v>
      </c>
      <c r="C116" s="246">
        <v>0</v>
      </c>
      <c r="D116" s="246">
        <v>0</v>
      </c>
      <c r="E116" s="246">
        <v>0.05</v>
      </c>
      <c r="F116" s="252">
        <f t="shared" si="43"/>
        <v>0.05</v>
      </c>
      <c r="G116" s="250">
        <v>2.5999999999999999E-2</v>
      </c>
      <c r="H116" s="250">
        <v>2.5000000000000001E-2</v>
      </c>
      <c r="I116" s="250">
        <v>2.5600000000000001E-2</v>
      </c>
      <c r="J116" s="256">
        <f t="shared" si="44"/>
        <v>2.5600000000000001E-2</v>
      </c>
      <c r="K116" s="264">
        <f t="shared" si="45"/>
        <v>0</v>
      </c>
      <c r="L116" s="264">
        <f t="shared" si="40"/>
        <v>0</v>
      </c>
      <c r="M116" s="264">
        <f t="shared" si="41"/>
        <v>1.2800000000000001E-3</v>
      </c>
      <c r="N116" s="256">
        <f t="shared" si="42"/>
        <v>1.2800000000000001E-3</v>
      </c>
    </row>
    <row r="117" spans="2:14" x14ac:dyDescent="0.25">
      <c r="B117" t="s">
        <v>514</v>
      </c>
      <c r="C117" s="5">
        <f>SUM(C114:C116)</f>
        <v>0.56000000000000005</v>
      </c>
      <c r="D117" s="5">
        <f>SUM(D114:D116)</f>
        <v>0.29000000000000004</v>
      </c>
      <c r="E117" s="5">
        <f t="shared" ref="E117" si="46">SUM(E114:E116)</f>
        <v>0.15000000000000002</v>
      </c>
      <c r="F117" s="251">
        <f t="shared" ref="F117" si="47">SUM(F114:F116)</f>
        <v>1</v>
      </c>
      <c r="G117" s="80">
        <f>(G114*C114/C117)+(G115*C115/C117)+(G116*C116/C117)</f>
        <v>2.5982142857142856E-2</v>
      </c>
      <c r="H117" s="80">
        <f>(H114*D114/D117)+(H115*D115/D117)+(H116*D116/D117)</f>
        <v>2.4599999999999997E-2</v>
      </c>
      <c r="I117" s="80">
        <f>(I114*E114/E117)+(I115*E115/E117)+(I116*E116/E117)</f>
        <v>2.5333333333333326E-2</v>
      </c>
      <c r="J117" s="255">
        <f>(C117/F117*G117)+(D117/F117*H117)+(E117/F117*I117)</f>
        <v>2.5484E-2</v>
      </c>
      <c r="K117" s="263">
        <f>SUM(K114:K116)</f>
        <v>1.455E-2</v>
      </c>
      <c r="L117" s="263">
        <f>SUM(L114:L116)</f>
        <v>7.1339999999999997E-3</v>
      </c>
      <c r="M117" s="263">
        <f t="shared" ref="M117" si="48">SUM(M114:M116)</f>
        <v>3.8000000000000004E-3</v>
      </c>
      <c r="N117" s="255">
        <f t="shared" ref="N117" si="49">SUM(N114:N116)</f>
        <v>2.5483999999999996E-2</v>
      </c>
    </row>
    <row r="123" spans="2:14" x14ac:dyDescent="0.25">
      <c r="C123" s="41"/>
      <c r="D123" s="41"/>
      <c r="E123" s="41"/>
    </row>
    <row r="125" spans="2:14" x14ac:dyDescent="0.25">
      <c r="C125" s="78"/>
      <c r="D125" s="78"/>
      <c r="E125" s="76"/>
    </row>
  </sheetData>
  <pageMargins left="0.7" right="0.7" top="0.75" bottom="0.75" header="0.3" footer="0.3"/>
  <pageSetup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89"/>
  <sheetViews>
    <sheetView workbookViewId="0">
      <selection activeCell="M40" sqref="M40"/>
    </sheetView>
  </sheetViews>
  <sheetFormatPr defaultRowHeight="15" x14ac:dyDescent="0.25"/>
  <cols>
    <col min="2" max="2" width="32.42578125" customWidth="1"/>
    <col min="3" max="3" width="24.5703125" bestFit="1" customWidth="1"/>
    <col min="5" max="5" width="13.28515625" customWidth="1"/>
  </cols>
  <sheetData>
    <row r="2" spans="2:11" x14ac:dyDescent="0.25">
      <c r="B2" s="18" t="s">
        <v>385</v>
      </c>
    </row>
    <row r="4" spans="2:11" x14ac:dyDescent="0.25">
      <c r="B4" t="s">
        <v>386</v>
      </c>
      <c r="C4" t="s">
        <v>387</v>
      </c>
    </row>
    <row r="5" spans="2:11" x14ac:dyDescent="0.25">
      <c r="B5" s="18" t="s">
        <v>388</v>
      </c>
      <c r="C5" t="s">
        <v>389</v>
      </c>
    </row>
    <row r="6" spans="2:11" x14ac:dyDescent="0.25">
      <c r="B6" s="18" t="s">
        <v>390</v>
      </c>
      <c r="C6" t="s">
        <v>391</v>
      </c>
    </row>
    <row r="7" spans="2:11" x14ac:dyDescent="0.25">
      <c r="B7" s="18" t="s">
        <v>392</v>
      </c>
      <c r="C7" t="s">
        <v>393</v>
      </c>
    </row>
    <row r="8" spans="2:11" x14ac:dyDescent="0.25">
      <c r="B8" s="18" t="s">
        <v>394</v>
      </c>
      <c r="C8" t="s">
        <v>395</v>
      </c>
    </row>
    <row r="9" spans="2:11" x14ac:dyDescent="0.25">
      <c r="B9" s="18" t="s">
        <v>396</v>
      </c>
      <c r="C9" t="s">
        <v>397</v>
      </c>
    </row>
    <row r="10" spans="2:11" x14ac:dyDescent="0.25">
      <c r="B10" s="18" t="s">
        <v>398</v>
      </c>
      <c r="C10" t="s">
        <v>399</v>
      </c>
    </row>
    <row r="13" spans="2:11" x14ac:dyDescent="0.25">
      <c r="B13" s="18" t="s">
        <v>400</v>
      </c>
      <c r="C13" t="s">
        <v>402</v>
      </c>
      <c r="K13" t="s">
        <v>403</v>
      </c>
    </row>
    <row r="15" spans="2:11" x14ac:dyDescent="0.25">
      <c r="B15" s="19" t="s">
        <v>401</v>
      </c>
      <c r="C15" t="s">
        <v>404</v>
      </c>
      <c r="K15" s="16" t="s">
        <v>405</v>
      </c>
    </row>
    <row r="17" spans="2:11" x14ac:dyDescent="0.25">
      <c r="B17" s="16" t="s">
        <v>422</v>
      </c>
      <c r="C17" t="s">
        <v>423</v>
      </c>
      <c r="K17" s="16" t="s">
        <v>407</v>
      </c>
    </row>
    <row r="18" spans="2:11" x14ac:dyDescent="0.25">
      <c r="C18" s="16" t="s">
        <v>406</v>
      </c>
    </row>
    <row r="20" spans="2:11" x14ac:dyDescent="0.25">
      <c r="B20" s="16" t="s">
        <v>408</v>
      </c>
      <c r="C20" s="16" t="s">
        <v>409</v>
      </c>
      <c r="K20" s="16" t="s">
        <v>424</v>
      </c>
    </row>
    <row r="23" spans="2:11" ht="30" x14ac:dyDescent="0.25">
      <c r="B23" s="40" t="s">
        <v>410</v>
      </c>
      <c r="C23" s="16" t="s">
        <v>411</v>
      </c>
      <c r="K23" s="16" t="s">
        <v>412</v>
      </c>
    </row>
    <row r="24" spans="2:11" x14ac:dyDescent="0.25">
      <c r="B24" s="40"/>
      <c r="C24" s="16"/>
      <c r="K24" s="16"/>
    </row>
    <row r="26" spans="2:11" ht="30" x14ac:dyDescent="0.25">
      <c r="B26" s="40" t="s">
        <v>413</v>
      </c>
      <c r="C26" s="16" t="s">
        <v>414</v>
      </c>
      <c r="K26" s="16" t="s">
        <v>415</v>
      </c>
    </row>
    <row r="28" spans="2:11" ht="45" x14ac:dyDescent="0.25">
      <c r="B28" s="40" t="s">
        <v>416</v>
      </c>
      <c r="C28" s="16" t="s">
        <v>417</v>
      </c>
      <c r="K28" s="16" t="s">
        <v>418</v>
      </c>
    </row>
    <row r="31" spans="2:11" ht="45" x14ac:dyDescent="0.25">
      <c r="B31" s="40" t="s">
        <v>419</v>
      </c>
      <c r="C31" s="16" t="s">
        <v>420</v>
      </c>
      <c r="K31" s="16" t="s">
        <v>421</v>
      </c>
    </row>
    <row r="33" spans="2:15" x14ac:dyDescent="0.25"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</row>
    <row r="35" spans="2:15" ht="15.75" thickBot="1" x14ac:dyDescent="0.3"/>
    <row r="36" spans="2:15" ht="15.75" thickBot="1" x14ac:dyDescent="0.3">
      <c r="B36" t="s">
        <v>436</v>
      </c>
      <c r="C36" s="265">
        <f>C38+C40+C41</f>
        <v>0.08</v>
      </c>
      <c r="E36" t="s">
        <v>425</v>
      </c>
      <c r="F36" t="s">
        <v>426</v>
      </c>
    </row>
    <row r="37" spans="2:15" x14ac:dyDescent="0.25">
      <c r="B37" t="s">
        <v>431</v>
      </c>
      <c r="C37" s="268">
        <v>0.08</v>
      </c>
    </row>
    <row r="38" spans="2:15" x14ac:dyDescent="0.25">
      <c r="B38" t="s">
        <v>435</v>
      </c>
      <c r="C38" s="269">
        <v>7.0000000000000007E-2</v>
      </c>
    </row>
    <row r="39" spans="2:15" ht="15.75" thickBot="1" x14ac:dyDescent="0.3">
      <c r="B39" t="s">
        <v>432</v>
      </c>
      <c r="C39" s="270">
        <v>7.4999999999999997E-2</v>
      </c>
    </row>
    <row r="40" spans="2:15" x14ac:dyDescent="0.25">
      <c r="B40" t="s">
        <v>433</v>
      </c>
      <c r="C40" s="266">
        <f>C39-C38</f>
        <v>4.9999999999999906E-3</v>
      </c>
      <c r="E40" t="s">
        <v>427</v>
      </c>
      <c r="F40" t="s">
        <v>428</v>
      </c>
    </row>
    <row r="41" spans="2:15" ht="15.75" thickBot="1" x14ac:dyDescent="0.3">
      <c r="B41" t="s">
        <v>434</v>
      </c>
      <c r="C41" s="267">
        <f>C37-C39</f>
        <v>5.0000000000000044E-3</v>
      </c>
      <c r="E41" t="s">
        <v>429</v>
      </c>
      <c r="F41" t="s">
        <v>430</v>
      </c>
    </row>
    <row r="42" spans="2:15" x14ac:dyDescent="0.25"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</row>
    <row r="43" spans="2:15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</row>
    <row r="46" spans="2:15" ht="15" customHeight="1" x14ac:dyDescent="0.25">
      <c r="B46" s="296" t="s">
        <v>446</v>
      </c>
      <c r="C46" s="296"/>
      <c r="D46" s="296"/>
      <c r="E46" s="296"/>
      <c r="F46" s="296"/>
      <c r="G46" s="296"/>
      <c r="H46" s="296"/>
      <c r="I46" s="296"/>
      <c r="J46" s="296"/>
      <c r="K46" s="296"/>
    </row>
    <row r="47" spans="2:15" ht="20.25" customHeight="1" x14ac:dyDescent="0.25">
      <c r="B47" s="296"/>
      <c r="C47" s="296"/>
      <c r="D47" s="296"/>
      <c r="E47" s="296"/>
      <c r="F47" s="296"/>
      <c r="G47" s="296"/>
      <c r="H47" s="296"/>
      <c r="I47" s="296"/>
      <c r="J47" s="296"/>
      <c r="K47" s="296"/>
    </row>
    <row r="54" spans="2:2" x14ac:dyDescent="0.25">
      <c r="B54" s="30" t="s">
        <v>445</v>
      </c>
    </row>
    <row r="61" spans="2:2" x14ac:dyDescent="0.25">
      <c r="B61" s="16"/>
    </row>
    <row r="62" spans="2:2" x14ac:dyDescent="0.25">
      <c r="B62" s="30" t="s">
        <v>444</v>
      </c>
    </row>
    <row r="70" spans="2:3" x14ac:dyDescent="0.25">
      <c r="B70" s="30" t="s">
        <v>443</v>
      </c>
    </row>
    <row r="72" spans="2:3" x14ac:dyDescent="0.25">
      <c r="C72" t="s">
        <v>439</v>
      </c>
    </row>
    <row r="79" spans="2:3" x14ac:dyDescent="0.25">
      <c r="B79" s="30" t="s">
        <v>442</v>
      </c>
    </row>
    <row r="86" spans="2:3" x14ac:dyDescent="0.25">
      <c r="B86" s="30" t="s">
        <v>441</v>
      </c>
    </row>
    <row r="87" spans="2:3" x14ac:dyDescent="0.25">
      <c r="B87" s="30"/>
      <c r="C87" s="30" t="s">
        <v>438</v>
      </c>
    </row>
    <row r="88" spans="2:3" x14ac:dyDescent="0.25">
      <c r="B88" s="30"/>
      <c r="C88" s="30"/>
    </row>
    <row r="89" spans="2:3" x14ac:dyDescent="0.25">
      <c r="B89" s="20" t="s">
        <v>440</v>
      </c>
    </row>
  </sheetData>
  <mergeCells count="1">
    <mergeCell ref="B46:K47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T52"/>
  <sheetViews>
    <sheetView topLeftCell="A22" workbookViewId="0">
      <selection activeCell="G29" sqref="G29"/>
    </sheetView>
  </sheetViews>
  <sheetFormatPr defaultRowHeight="15" x14ac:dyDescent="0.25"/>
  <cols>
    <col min="2" max="2" width="33.85546875" customWidth="1"/>
    <col min="3" max="3" width="16.28515625" customWidth="1"/>
    <col min="4" max="4" width="16.85546875" customWidth="1"/>
    <col min="5" max="5" width="11" customWidth="1"/>
  </cols>
  <sheetData>
    <row r="3" spans="2:8" x14ac:dyDescent="0.25">
      <c r="B3" s="25" t="s">
        <v>716</v>
      </c>
    </row>
    <row r="5" spans="2:8" x14ac:dyDescent="0.25">
      <c r="B5" t="s">
        <v>717</v>
      </c>
      <c r="H5" t="s">
        <v>718</v>
      </c>
    </row>
    <row r="7" spans="2:8" x14ac:dyDescent="0.25">
      <c r="C7" t="s">
        <v>719</v>
      </c>
      <c r="D7" s="19" t="s">
        <v>720</v>
      </c>
    </row>
    <row r="9" spans="2:8" x14ac:dyDescent="0.25">
      <c r="B9" s="51" t="s">
        <v>727</v>
      </c>
      <c r="C9" s="170">
        <v>0.6</v>
      </c>
      <c r="D9" s="170">
        <f>1-C9</f>
        <v>0.4</v>
      </c>
    </row>
    <row r="10" spans="2:8" x14ac:dyDescent="0.25">
      <c r="B10" s="51" t="s">
        <v>721</v>
      </c>
      <c r="C10" s="161">
        <v>0.02</v>
      </c>
      <c r="D10" s="161">
        <v>2.5000000000000001E-2</v>
      </c>
    </row>
    <row r="11" spans="2:8" x14ac:dyDescent="0.25">
      <c r="B11" s="51" t="s">
        <v>722</v>
      </c>
      <c r="C11" s="161">
        <v>-0.01</v>
      </c>
      <c r="D11" s="161">
        <v>0.03</v>
      </c>
    </row>
    <row r="12" spans="2:8" x14ac:dyDescent="0.25">
      <c r="B12" s="51" t="s">
        <v>731</v>
      </c>
      <c r="C12" s="161">
        <v>0.15</v>
      </c>
      <c r="D12" s="161">
        <v>0.25</v>
      </c>
    </row>
    <row r="13" spans="2:8" x14ac:dyDescent="0.25">
      <c r="B13" s="51" t="s">
        <v>723</v>
      </c>
      <c r="C13" s="161">
        <v>7.0000000000000007E-2</v>
      </c>
      <c r="D13" s="161">
        <v>0.09</v>
      </c>
    </row>
    <row r="14" spans="2:8" x14ac:dyDescent="0.25">
      <c r="B14" s="51" t="s">
        <v>724</v>
      </c>
      <c r="C14" s="167">
        <v>0.85</v>
      </c>
      <c r="D14" s="167">
        <v>0.65</v>
      </c>
    </row>
    <row r="15" spans="2:8" x14ac:dyDescent="0.25">
      <c r="B15" s="51" t="s">
        <v>725</v>
      </c>
      <c r="C15" s="297">
        <v>0.7</v>
      </c>
      <c r="D15" s="297"/>
    </row>
    <row r="17" spans="2:19" ht="15.75" thickBot="1" x14ac:dyDescent="0.3"/>
    <row r="18" spans="2:19" x14ac:dyDescent="0.25">
      <c r="B18" s="104" t="s">
        <v>726</v>
      </c>
      <c r="C18" s="271">
        <f>((1+C10)*(1+C11))-1</f>
        <v>9.8000000000000309E-3</v>
      </c>
      <c r="D18" s="272">
        <f>(1+D10)*(1+D11)-1</f>
        <v>5.5749999999999966E-2</v>
      </c>
    </row>
    <row r="19" spans="2:19" x14ac:dyDescent="0.25">
      <c r="B19" s="105" t="s">
        <v>728</v>
      </c>
      <c r="C19" s="273">
        <f>((C12^2)+(C13^2)+(2*C12*C13*C14))^(1/2)</f>
        <v>0.21272047386182646</v>
      </c>
      <c r="D19" s="274">
        <f>((D12^2)+(D13^2)+(2*D12*D13*D14))^(1/2)</f>
        <v>0.31599050618649921</v>
      </c>
    </row>
    <row r="20" spans="2:19" x14ac:dyDescent="0.25">
      <c r="B20" s="105" t="s">
        <v>730</v>
      </c>
      <c r="C20" s="300">
        <f>C18*C9+D18*D9</f>
        <v>2.8180000000000004E-2</v>
      </c>
      <c r="D20" s="301"/>
    </row>
    <row r="21" spans="2:19" ht="15.75" thickBot="1" x14ac:dyDescent="0.3">
      <c r="B21" s="106" t="s">
        <v>729</v>
      </c>
      <c r="C21" s="298">
        <f>((C9^2)*(C19^2)+(D9^2)*(D19^2)+2*C9*D9*C19*D19*C15)^(1/2)</f>
        <v>0.23420318202615237</v>
      </c>
      <c r="D21" s="299"/>
    </row>
    <row r="24" spans="2:19" x14ac:dyDescent="0.25"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</row>
    <row r="27" spans="2:19" x14ac:dyDescent="0.25">
      <c r="B27" s="25" t="s">
        <v>732</v>
      </c>
      <c r="C27" s="64"/>
    </row>
    <row r="29" spans="2:19" x14ac:dyDescent="0.25">
      <c r="B29" t="s">
        <v>733</v>
      </c>
      <c r="H29" s="15" t="s">
        <v>756</v>
      </c>
    </row>
    <row r="31" spans="2:19" x14ac:dyDescent="0.25">
      <c r="C31" s="25" t="s">
        <v>740</v>
      </c>
      <c r="D31" s="25" t="s">
        <v>741</v>
      </c>
      <c r="E31" s="25" t="s">
        <v>742</v>
      </c>
    </row>
    <row r="32" spans="2:19" x14ac:dyDescent="0.25">
      <c r="B32" s="18" t="s">
        <v>735</v>
      </c>
      <c r="C32" s="202">
        <v>1499.23</v>
      </c>
      <c r="D32" s="275">
        <v>1112.56</v>
      </c>
      <c r="E32" s="275">
        <v>1257.8900000000001</v>
      </c>
    </row>
    <row r="33" spans="2:9" x14ac:dyDescent="0.25">
      <c r="B33" s="18" t="s">
        <v>736</v>
      </c>
      <c r="C33" s="202">
        <v>1483.99</v>
      </c>
      <c r="D33" s="275">
        <v>1108.78</v>
      </c>
      <c r="E33" s="275">
        <v>1265.22</v>
      </c>
    </row>
    <row r="34" spans="2:9" x14ac:dyDescent="0.25">
      <c r="B34" s="18" t="s">
        <v>737</v>
      </c>
      <c r="C34" s="202">
        <v>1450.87</v>
      </c>
      <c r="D34" s="275">
        <v>1146.6300000000001</v>
      </c>
      <c r="E34" s="275">
        <v>1212.55</v>
      </c>
    </row>
    <row r="36" spans="2:9" ht="15.75" thickBot="1" x14ac:dyDescent="0.3"/>
    <row r="37" spans="2:9" x14ac:dyDescent="0.25">
      <c r="B37" s="104" t="s">
        <v>743</v>
      </c>
      <c r="C37" s="272">
        <f>(C32-C33)/C33</f>
        <v>1.0269610981206078E-2</v>
      </c>
      <c r="D37" s="272">
        <f t="shared" ref="D37:E37" si="0">(D32-D33)/D33</f>
        <v>3.4091524017388236E-3</v>
      </c>
      <c r="E37" s="272">
        <f t="shared" si="0"/>
        <v>-5.7934588451019802E-3</v>
      </c>
    </row>
    <row r="38" spans="2:9" x14ac:dyDescent="0.25">
      <c r="B38" s="105" t="s">
        <v>738</v>
      </c>
      <c r="C38" s="274">
        <f>(C34-C33)/C33</f>
        <v>-2.231820969144005E-2</v>
      </c>
      <c r="D38" s="274">
        <f t="shared" ref="D38:E38" si="1">(D34-D33)/D33</f>
        <v>3.4136618625877212E-2</v>
      </c>
      <c r="E38" s="274">
        <f t="shared" si="1"/>
        <v>-4.1629123788748258E-2</v>
      </c>
    </row>
    <row r="39" spans="2:9" ht="15.75" thickBot="1" x14ac:dyDescent="0.3">
      <c r="B39" s="106" t="s">
        <v>739</v>
      </c>
      <c r="C39" s="107" t="str">
        <f>IF(C37&gt;C38, "HEDGE", "Don't Hedge")</f>
        <v>HEDGE</v>
      </c>
      <c r="D39" s="107" t="str">
        <f t="shared" ref="D39:E39" si="2">IF(D37&gt;D38, "HEDGE", "Don't Hedge")</f>
        <v>Don't Hedge</v>
      </c>
      <c r="E39" s="107" t="str">
        <f t="shared" si="2"/>
        <v>HEDGE</v>
      </c>
    </row>
    <row r="40" spans="2:9" x14ac:dyDescent="0.25">
      <c r="C40" s="42"/>
    </row>
    <row r="42" spans="2:9" x14ac:dyDescent="0.25">
      <c r="H42" t="s">
        <v>734</v>
      </c>
    </row>
    <row r="44" spans="2:9" x14ac:dyDescent="0.25">
      <c r="B44" s="16" t="s">
        <v>744</v>
      </c>
      <c r="I44" s="16" t="s">
        <v>750</v>
      </c>
    </row>
    <row r="45" spans="2:9" x14ac:dyDescent="0.25">
      <c r="B45" s="16" t="s">
        <v>745</v>
      </c>
      <c r="I45" s="16" t="s">
        <v>751</v>
      </c>
    </row>
    <row r="46" spans="2:9" x14ac:dyDescent="0.25">
      <c r="B46" s="16" t="s">
        <v>746</v>
      </c>
      <c r="I46" s="16" t="s">
        <v>752</v>
      </c>
    </row>
    <row r="47" spans="2:9" x14ac:dyDescent="0.25">
      <c r="B47" s="16" t="s">
        <v>747</v>
      </c>
      <c r="I47" s="16" t="s">
        <v>753</v>
      </c>
    </row>
    <row r="48" spans="2:9" x14ac:dyDescent="0.25">
      <c r="B48" s="16" t="s">
        <v>755</v>
      </c>
      <c r="I48" s="16" t="s">
        <v>754</v>
      </c>
    </row>
    <row r="49" spans="2:20" x14ac:dyDescent="0.25">
      <c r="B49" s="16" t="s">
        <v>748</v>
      </c>
    </row>
    <row r="50" spans="2:20" x14ac:dyDescent="0.25">
      <c r="B50" s="16" t="s">
        <v>749</v>
      </c>
    </row>
    <row r="51" spans="2:20" x14ac:dyDescent="0.25">
      <c r="B51" s="16"/>
    </row>
    <row r="52" spans="2:20" x14ac:dyDescent="0.25">
      <c r="B52" s="28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</row>
  </sheetData>
  <mergeCells count="3">
    <mergeCell ref="C15:D15"/>
    <mergeCell ref="C21:D21"/>
    <mergeCell ref="C20:D20"/>
  </mergeCells>
  <conditionalFormatting sqref="C39 D39 E39">
    <cfRule type="cellIs" dxfId="1" priority="1" operator="equal">
      <formula>"HEDGE"</formula>
    </cfRule>
    <cfRule type="cellIs" dxfId="0" priority="2" operator="equal">
      <formula>"Don't Hedge"</formula>
    </cfRule>
  </conditionalFormatting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5:N66"/>
  <sheetViews>
    <sheetView workbookViewId="0">
      <selection activeCell="B74" sqref="B74"/>
    </sheetView>
  </sheetViews>
  <sheetFormatPr defaultRowHeight="15" x14ac:dyDescent="0.25"/>
  <cols>
    <col min="2" max="2" width="29.5703125" customWidth="1"/>
    <col min="3" max="3" width="11.5703125" bestFit="1" customWidth="1"/>
  </cols>
  <sheetData>
    <row r="5" spans="2:6" x14ac:dyDescent="0.25">
      <c r="B5" s="109" t="s">
        <v>383</v>
      </c>
    </row>
    <row r="7" spans="2:6" ht="15.75" thickBot="1" x14ac:dyDescent="0.3"/>
    <row r="8" spans="2:6" x14ac:dyDescent="0.25">
      <c r="B8" s="113" t="s">
        <v>757</v>
      </c>
      <c r="C8" s="278">
        <f>C10*(C14-C15)*C16</f>
        <v>-500</v>
      </c>
      <c r="F8" s="16" t="s">
        <v>462</v>
      </c>
    </row>
    <row r="9" spans="2:6" x14ac:dyDescent="0.25">
      <c r="B9" s="110"/>
      <c r="C9" s="111"/>
      <c r="F9" s="16"/>
    </row>
    <row r="10" spans="2:6" x14ac:dyDescent="0.25">
      <c r="B10" s="110">
        <v>2</v>
      </c>
      <c r="C10" s="114">
        <f>CHOOSE($B$10, 1, -1)</f>
        <v>-1</v>
      </c>
      <c r="F10" s="18" t="s">
        <v>477</v>
      </c>
    </row>
    <row r="11" spans="2:6" x14ac:dyDescent="0.25">
      <c r="B11" s="9" t="s">
        <v>472</v>
      </c>
      <c r="C11" s="114">
        <v>1</v>
      </c>
    </row>
    <row r="12" spans="2:6" x14ac:dyDescent="0.25">
      <c r="B12" s="112" t="s">
        <v>470</v>
      </c>
      <c r="C12" s="114">
        <v>1</v>
      </c>
    </row>
    <row r="13" spans="2:6" x14ac:dyDescent="0.25">
      <c r="B13" s="112" t="s">
        <v>471</v>
      </c>
      <c r="C13" s="114">
        <v>-1</v>
      </c>
    </row>
    <row r="14" spans="2:6" x14ac:dyDescent="0.25">
      <c r="B14" s="9" t="s">
        <v>473</v>
      </c>
      <c r="C14" s="276">
        <v>50</v>
      </c>
    </row>
    <row r="15" spans="2:6" x14ac:dyDescent="0.25">
      <c r="B15" s="9" t="s">
        <v>474</v>
      </c>
      <c r="C15" s="276">
        <v>45</v>
      </c>
    </row>
    <row r="16" spans="2:6" ht="15.75" thickBot="1" x14ac:dyDescent="0.3">
      <c r="B16" s="12" t="s">
        <v>475</v>
      </c>
      <c r="C16" s="277">
        <v>100</v>
      </c>
    </row>
    <row r="21" spans="2:6" ht="15.75" thickBot="1" x14ac:dyDescent="0.3"/>
    <row r="22" spans="2:6" x14ac:dyDescent="0.25">
      <c r="B22" s="113" t="s">
        <v>758</v>
      </c>
      <c r="C22" s="280">
        <f>C24-(C33*C25)</f>
        <v>1.387755102040816E-2</v>
      </c>
      <c r="F22" s="16" t="s">
        <v>463</v>
      </c>
    </row>
    <row r="23" spans="2:6" x14ac:dyDescent="0.25">
      <c r="B23" s="9"/>
      <c r="C23" s="115"/>
    </row>
    <row r="24" spans="2:6" x14ac:dyDescent="0.25">
      <c r="B24" s="112" t="s">
        <v>464</v>
      </c>
      <c r="C24" s="279">
        <f>C27*((C30-C32)/C32)</f>
        <v>-2.0408163265306121E-2</v>
      </c>
      <c r="F24" s="17" t="s">
        <v>468</v>
      </c>
    </row>
    <row r="25" spans="2:6" x14ac:dyDescent="0.25">
      <c r="B25" s="9" t="s">
        <v>481</v>
      </c>
      <c r="C25" s="279">
        <f>((C35-C34)/C34)</f>
        <v>-2.8571428571428571E-2</v>
      </c>
      <c r="F25" s="16" t="s">
        <v>466</v>
      </c>
    </row>
    <row r="26" spans="2:6" x14ac:dyDescent="0.25">
      <c r="B26" s="9"/>
      <c r="C26" s="11"/>
      <c r="F26" s="16" t="s">
        <v>467</v>
      </c>
    </row>
    <row r="27" spans="2:6" x14ac:dyDescent="0.25">
      <c r="B27" s="110">
        <v>2</v>
      </c>
      <c r="C27" s="114">
        <f>CHOOSE(B27, 1,-1)</f>
        <v>-1</v>
      </c>
    </row>
    <row r="28" spans="2:6" x14ac:dyDescent="0.25">
      <c r="B28" s="112" t="s">
        <v>470</v>
      </c>
      <c r="C28" s="114">
        <v>1</v>
      </c>
    </row>
    <row r="29" spans="2:6" x14ac:dyDescent="0.25">
      <c r="B29" s="112" t="s">
        <v>471</v>
      </c>
      <c r="C29" s="114">
        <v>-1</v>
      </c>
    </row>
    <row r="30" spans="2:6" x14ac:dyDescent="0.25">
      <c r="B30" s="9" t="s">
        <v>473</v>
      </c>
      <c r="C30" s="276">
        <v>50</v>
      </c>
    </row>
    <row r="31" spans="2:6" x14ac:dyDescent="0.25">
      <c r="B31" s="9" t="s">
        <v>474</v>
      </c>
      <c r="C31" s="276">
        <v>45</v>
      </c>
    </row>
    <row r="32" spans="2:6" x14ac:dyDescent="0.25">
      <c r="B32" s="9" t="s">
        <v>476</v>
      </c>
      <c r="C32" s="276">
        <v>49</v>
      </c>
    </row>
    <row r="33" spans="2:14" x14ac:dyDescent="0.25">
      <c r="B33" s="9" t="s">
        <v>478</v>
      </c>
      <c r="C33" s="276">
        <v>1.2</v>
      </c>
      <c r="F33" s="16" t="s">
        <v>465</v>
      </c>
      <c r="G33" s="17" t="s">
        <v>469</v>
      </c>
    </row>
    <row r="34" spans="2:14" x14ac:dyDescent="0.25">
      <c r="B34" s="9" t="s">
        <v>479</v>
      </c>
      <c r="C34" s="276">
        <v>1050</v>
      </c>
    </row>
    <row r="35" spans="2:14" ht="15.75" thickBot="1" x14ac:dyDescent="0.3">
      <c r="B35" s="12" t="s">
        <v>480</v>
      </c>
      <c r="C35" s="277">
        <v>1020</v>
      </c>
    </row>
    <row r="37" spans="2:14" x14ac:dyDescent="0.25"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</row>
    <row r="39" spans="2:14" ht="15.75" thickBot="1" x14ac:dyDescent="0.3"/>
    <row r="40" spans="2:14" x14ac:dyDescent="0.25">
      <c r="B40" s="104" t="s">
        <v>382</v>
      </c>
      <c r="C40" s="8"/>
      <c r="E40" s="16" t="s">
        <v>759</v>
      </c>
      <c r="J40" s="16" t="s">
        <v>760</v>
      </c>
    </row>
    <row r="41" spans="2:14" x14ac:dyDescent="0.25">
      <c r="B41" s="9"/>
      <c r="C41" s="11"/>
    </row>
    <row r="42" spans="2:14" x14ac:dyDescent="0.25">
      <c r="B42" s="9" t="s">
        <v>769</v>
      </c>
      <c r="C42" s="276">
        <v>50000</v>
      </c>
      <c r="E42" s="18" t="s">
        <v>477</v>
      </c>
    </row>
    <row r="43" spans="2:14" x14ac:dyDescent="0.25">
      <c r="B43" s="9" t="s">
        <v>765</v>
      </c>
      <c r="C43" s="281">
        <v>20</v>
      </c>
    </row>
    <row r="44" spans="2:14" x14ac:dyDescent="0.25">
      <c r="B44" s="112" t="s">
        <v>780</v>
      </c>
      <c r="C44" s="282">
        <v>20.100000000000001</v>
      </c>
      <c r="D44" s="16"/>
      <c r="E44" t="s">
        <v>781</v>
      </c>
      <c r="F44" s="16"/>
      <c r="G44" s="16"/>
    </row>
    <row r="45" spans="2:14" x14ac:dyDescent="0.25">
      <c r="B45" s="9" t="s">
        <v>766</v>
      </c>
      <c r="C45" s="282">
        <v>20.34</v>
      </c>
    </row>
    <row r="46" spans="2:14" x14ac:dyDescent="0.25">
      <c r="B46" s="9" t="s">
        <v>767</v>
      </c>
      <c r="C46" s="276"/>
    </row>
    <row r="47" spans="2:14" x14ac:dyDescent="0.25">
      <c r="B47" s="9" t="s">
        <v>774</v>
      </c>
      <c r="C47" s="281">
        <v>0.02</v>
      </c>
      <c r="E47" s="16"/>
    </row>
    <row r="48" spans="2:14" x14ac:dyDescent="0.25">
      <c r="B48" s="9" t="s">
        <v>770</v>
      </c>
      <c r="C48" s="276">
        <v>10000</v>
      </c>
    </row>
    <row r="49" spans="2:6" x14ac:dyDescent="0.25">
      <c r="B49" s="9" t="s">
        <v>768</v>
      </c>
      <c r="C49" s="276"/>
    </row>
    <row r="50" spans="2:6" ht="15.75" thickBot="1" x14ac:dyDescent="0.3">
      <c r="B50" s="12" t="s">
        <v>771</v>
      </c>
      <c r="C50" s="283">
        <v>20.55</v>
      </c>
    </row>
    <row r="52" spans="2:6" ht="15.75" thickBot="1" x14ac:dyDescent="0.3"/>
    <row r="53" spans="2:6" x14ac:dyDescent="0.25">
      <c r="B53" s="104" t="s">
        <v>382</v>
      </c>
      <c r="C53" s="215">
        <f>C55-C56</f>
        <v>19899.999999999964</v>
      </c>
    </row>
    <row r="54" spans="2:6" x14ac:dyDescent="0.25">
      <c r="B54" s="105"/>
      <c r="C54" s="115"/>
    </row>
    <row r="55" spans="2:6" x14ac:dyDescent="0.25">
      <c r="B55" s="105" t="s">
        <v>772</v>
      </c>
      <c r="C55" s="211">
        <f>(C42*C50)-(C42*C43)</f>
        <v>27500</v>
      </c>
    </row>
    <row r="56" spans="2:6" ht="15.75" thickBot="1" x14ac:dyDescent="0.3">
      <c r="B56" s="106" t="s">
        <v>773</v>
      </c>
      <c r="C56" s="284">
        <f>((C42-C48)*(C50-C45))-C64</f>
        <v>7600.0000000000346</v>
      </c>
    </row>
    <row r="59" spans="2:6" ht="15.75" thickBot="1" x14ac:dyDescent="0.3"/>
    <row r="60" spans="2:6" x14ac:dyDescent="0.25">
      <c r="B60" s="6" t="s">
        <v>775</v>
      </c>
      <c r="C60" s="7"/>
      <c r="D60" s="8" t="s">
        <v>782</v>
      </c>
    </row>
    <row r="61" spans="2:6" x14ac:dyDescent="0.25">
      <c r="B61" s="116" t="s">
        <v>776</v>
      </c>
      <c r="C61" s="285">
        <f>(C42-C48)*(C44-C43)</f>
        <v>4000.0000000000568</v>
      </c>
      <c r="D61" s="288">
        <f>C61/($C$42*$C$43)*10000</f>
        <v>40.000000000000561</v>
      </c>
      <c r="F61" s="16" t="s">
        <v>761</v>
      </c>
    </row>
    <row r="62" spans="2:6" x14ac:dyDescent="0.25">
      <c r="B62" s="116" t="s">
        <v>777</v>
      </c>
      <c r="C62" s="286">
        <f>(C42-C48)*(C45-C44)</f>
        <v>9599.9999999999382</v>
      </c>
      <c r="D62" s="288">
        <f t="shared" ref="D62:D64" si="0">C62/($C$42*$C$43)*10000</f>
        <v>95.999999999999389</v>
      </c>
      <c r="F62" s="16" t="s">
        <v>762</v>
      </c>
    </row>
    <row r="63" spans="2:6" x14ac:dyDescent="0.25">
      <c r="B63" s="9" t="s">
        <v>778</v>
      </c>
      <c r="C63" s="286">
        <f>C48*(C50-C43)</f>
        <v>5500.0000000000073</v>
      </c>
      <c r="D63" s="288">
        <f t="shared" si="0"/>
        <v>55.000000000000078</v>
      </c>
      <c r="F63" s="16" t="s">
        <v>763</v>
      </c>
    </row>
    <row r="64" spans="2:6" x14ac:dyDescent="0.25">
      <c r="B64" s="9" t="s">
        <v>779</v>
      </c>
      <c r="C64" s="285">
        <f>C47*(C42-C48)+C46</f>
        <v>800</v>
      </c>
      <c r="D64" s="288">
        <f t="shared" si="0"/>
        <v>8</v>
      </c>
      <c r="F64" s="16" t="s">
        <v>764</v>
      </c>
    </row>
    <row r="65" spans="2:4" x14ac:dyDescent="0.25">
      <c r="B65" s="9"/>
      <c r="C65" s="10"/>
      <c r="D65" s="11"/>
    </row>
    <row r="66" spans="2:4" ht="18" thickBot="1" x14ac:dyDescent="0.45">
      <c r="B66" s="106" t="s">
        <v>382</v>
      </c>
      <c r="C66" s="287">
        <f>SUM(C61:C64)</f>
        <v>19900</v>
      </c>
      <c r="D66" s="289">
        <f>SUM(D61:D64)</f>
        <v>199.00000000000003</v>
      </c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4581" r:id="rId3" name="Drop Down 5">
              <controlPr defaultSize="0" autoLine="0" autoPict="0">
                <anchor moveWithCells="1">
                  <from>
                    <xdr:col>1</xdr:col>
                    <xdr:colOff>0</xdr:colOff>
                    <xdr:row>26</xdr:row>
                    <xdr:rowOff>0</xdr:rowOff>
                  </from>
                  <to>
                    <xdr:col>1</xdr:col>
                    <xdr:colOff>1619250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3" r:id="rId4" name="Drop Down 7">
              <controlPr defaultSize="0" autoLine="0" autoPict="0">
                <anchor moveWithCells="1">
                  <from>
                    <xdr:col>1</xdr:col>
                    <xdr:colOff>9525</xdr:colOff>
                    <xdr:row>9</xdr:row>
                    <xdr:rowOff>9525</xdr:rowOff>
                  </from>
                  <to>
                    <xdr:col>1</xdr:col>
                    <xdr:colOff>1628775</xdr:colOff>
                    <xdr:row>10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F19"/>
  <sheetViews>
    <sheetView workbookViewId="0">
      <selection activeCell="H30" sqref="H30"/>
    </sheetView>
  </sheetViews>
  <sheetFormatPr defaultRowHeight="15" x14ac:dyDescent="0.25"/>
  <cols>
    <col min="2" max="2" width="29.28515625" customWidth="1"/>
  </cols>
  <sheetData>
    <row r="3" spans="2:6" x14ac:dyDescent="0.25">
      <c r="B3" s="16" t="s">
        <v>447</v>
      </c>
      <c r="C3" s="16" t="s">
        <v>448</v>
      </c>
      <c r="E3" s="16" t="s">
        <v>449</v>
      </c>
    </row>
    <row r="5" spans="2:6" x14ac:dyDescent="0.25">
      <c r="D5" t="s">
        <v>459</v>
      </c>
    </row>
    <row r="9" spans="2:6" x14ac:dyDescent="0.25">
      <c r="B9" s="16" t="s">
        <v>450</v>
      </c>
      <c r="C9" s="17" t="s">
        <v>453</v>
      </c>
    </row>
    <row r="10" spans="2:6" x14ac:dyDescent="0.25">
      <c r="B10" s="16" t="s">
        <v>451</v>
      </c>
      <c r="C10" s="17" t="s">
        <v>454</v>
      </c>
    </row>
    <row r="11" spans="2:6" x14ac:dyDescent="0.25">
      <c r="B11" s="16" t="s">
        <v>452</v>
      </c>
      <c r="C11" s="17" t="s">
        <v>455</v>
      </c>
    </row>
    <row r="12" spans="2:6" x14ac:dyDescent="0.25">
      <c r="B12" s="16" t="s">
        <v>384</v>
      </c>
      <c r="C12" s="17" t="s">
        <v>456</v>
      </c>
    </row>
    <row r="13" spans="2:6" x14ac:dyDescent="0.25">
      <c r="B13" s="33" t="s">
        <v>457</v>
      </c>
      <c r="C13" s="15" t="s">
        <v>458</v>
      </c>
    </row>
    <row r="16" spans="2:6" x14ac:dyDescent="0.25">
      <c r="F16" t="s">
        <v>460</v>
      </c>
    </row>
    <row r="19" spans="2:2" x14ac:dyDescent="0.25">
      <c r="B19" s="16" t="s">
        <v>461</v>
      </c>
    </row>
  </sheetData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T56"/>
  <sheetViews>
    <sheetView topLeftCell="A40" workbookViewId="0">
      <selection activeCell="H55" sqref="H55"/>
    </sheetView>
  </sheetViews>
  <sheetFormatPr defaultRowHeight="15" x14ac:dyDescent="0.25"/>
  <cols>
    <col min="3" max="3" width="11.7109375" customWidth="1"/>
    <col min="4" max="4" width="27" customWidth="1"/>
  </cols>
  <sheetData>
    <row r="4" spans="2:3" x14ac:dyDescent="0.25">
      <c r="B4" s="117" t="s">
        <v>783</v>
      </c>
    </row>
    <row r="5" spans="2:3" x14ac:dyDescent="0.25">
      <c r="B5" s="16" t="s">
        <v>784</v>
      </c>
    </row>
    <row r="6" spans="2:3" x14ac:dyDescent="0.25">
      <c r="B6" s="16"/>
    </row>
    <row r="7" spans="2:3" x14ac:dyDescent="0.25">
      <c r="B7" s="16" t="s">
        <v>785</v>
      </c>
    </row>
    <row r="8" spans="2:3" x14ac:dyDescent="0.25">
      <c r="C8" s="16" t="s">
        <v>786</v>
      </c>
    </row>
    <row r="9" spans="2:3" x14ac:dyDescent="0.25">
      <c r="C9" s="16" t="s">
        <v>799</v>
      </c>
    </row>
    <row r="10" spans="2:3" x14ac:dyDescent="0.25">
      <c r="C10" s="16" t="s">
        <v>787</v>
      </c>
    </row>
    <row r="11" spans="2:3" x14ac:dyDescent="0.25">
      <c r="C11" s="16" t="s">
        <v>800</v>
      </c>
    </row>
    <row r="12" spans="2:3" x14ac:dyDescent="0.25">
      <c r="C12" s="16"/>
    </row>
    <row r="13" spans="2:3" x14ac:dyDescent="0.25">
      <c r="B13" s="16" t="s">
        <v>788</v>
      </c>
    </row>
    <row r="14" spans="2:3" x14ac:dyDescent="0.25">
      <c r="C14" s="16" t="s">
        <v>801</v>
      </c>
    </row>
    <row r="15" spans="2:3" x14ac:dyDescent="0.25">
      <c r="C15" s="16" t="s">
        <v>802</v>
      </c>
    </row>
    <row r="16" spans="2:3" x14ac:dyDescent="0.25">
      <c r="C16" s="16"/>
    </row>
    <row r="17" spans="2:3" x14ac:dyDescent="0.25">
      <c r="B17" s="16" t="s">
        <v>789</v>
      </c>
    </row>
    <row r="18" spans="2:3" x14ac:dyDescent="0.25">
      <c r="C18" s="16" t="s">
        <v>803</v>
      </c>
    </row>
    <row r="19" spans="2:3" x14ac:dyDescent="0.25">
      <c r="C19" s="16" t="s">
        <v>790</v>
      </c>
    </row>
    <row r="20" spans="2:3" x14ac:dyDescent="0.25">
      <c r="B20" s="16"/>
    </row>
    <row r="21" spans="2:3" x14ac:dyDescent="0.25">
      <c r="B21" s="16" t="s">
        <v>791</v>
      </c>
    </row>
    <row r="22" spans="2:3" x14ac:dyDescent="0.25">
      <c r="C22" s="16" t="s">
        <v>804</v>
      </c>
    </row>
    <row r="23" spans="2:3" x14ac:dyDescent="0.25">
      <c r="C23" s="16" t="s">
        <v>805</v>
      </c>
    </row>
    <row r="24" spans="2:3" x14ac:dyDescent="0.25">
      <c r="C24" s="16"/>
    </row>
    <row r="25" spans="2:3" x14ac:dyDescent="0.25">
      <c r="B25" t="s">
        <v>806</v>
      </c>
      <c r="C25" s="16"/>
    </row>
    <row r="26" spans="2:3" x14ac:dyDescent="0.25">
      <c r="C26" s="16" t="s">
        <v>792</v>
      </c>
    </row>
    <row r="27" spans="2:3" x14ac:dyDescent="0.25">
      <c r="B27" s="16"/>
      <c r="C27" s="16" t="s">
        <v>807</v>
      </c>
    </row>
    <row r="28" spans="2:3" x14ac:dyDescent="0.25">
      <c r="B28" s="16"/>
      <c r="C28" s="16"/>
    </row>
    <row r="29" spans="2:3" x14ac:dyDescent="0.25">
      <c r="B29" s="16" t="s">
        <v>793</v>
      </c>
    </row>
    <row r="30" spans="2:3" x14ac:dyDescent="0.25">
      <c r="C30" s="16" t="s">
        <v>794</v>
      </c>
    </row>
    <row r="31" spans="2:3" x14ac:dyDescent="0.25">
      <c r="C31" s="16" t="s">
        <v>795</v>
      </c>
    </row>
    <row r="32" spans="2:3" x14ac:dyDescent="0.25">
      <c r="B32" s="16"/>
    </row>
    <row r="33" spans="2:20" x14ac:dyDescent="0.25">
      <c r="B33" s="16" t="s">
        <v>808</v>
      </c>
    </row>
    <row r="34" spans="2:20" x14ac:dyDescent="0.25">
      <c r="B34" s="16"/>
    </row>
    <row r="35" spans="2:20" x14ac:dyDescent="0.25">
      <c r="B35" s="16" t="s">
        <v>796</v>
      </c>
    </row>
    <row r="36" spans="2:20" x14ac:dyDescent="0.25">
      <c r="B36" s="16"/>
    </row>
    <row r="37" spans="2:20" x14ac:dyDescent="0.25">
      <c r="B37" s="16" t="s">
        <v>797</v>
      </c>
    </row>
    <row r="38" spans="2:20" x14ac:dyDescent="0.25">
      <c r="B38" s="16"/>
    </row>
    <row r="39" spans="2:20" x14ac:dyDescent="0.25">
      <c r="B39" s="16" t="s">
        <v>798</v>
      </c>
    </row>
    <row r="41" spans="2:20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</row>
    <row r="43" spans="2:20" x14ac:dyDescent="0.25">
      <c r="B43" t="s">
        <v>940</v>
      </c>
      <c r="E43" t="s">
        <v>949</v>
      </c>
      <c r="H43" t="s">
        <v>944</v>
      </c>
    </row>
    <row r="44" spans="2:20" x14ac:dyDescent="0.25">
      <c r="C44" t="s">
        <v>812</v>
      </c>
      <c r="D44" t="s">
        <v>951</v>
      </c>
      <c r="F44">
        <v>0.62895880782627478</v>
      </c>
    </row>
    <row r="45" spans="2:20" x14ac:dyDescent="0.25">
      <c r="C45" t="s">
        <v>815</v>
      </c>
      <c r="D45" t="s">
        <v>952</v>
      </c>
      <c r="F45">
        <v>0.10011394831501665</v>
      </c>
      <c r="H45" t="s">
        <v>945</v>
      </c>
    </row>
    <row r="46" spans="2:20" x14ac:dyDescent="0.25">
      <c r="C46" t="s">
        <v>941</v>
      </c>
      <c r="D46" t="s">
        <v>953</v>
      </c>
      <c r="F46">
        <v>0.48220141789902815</v>
      </c>
    </row>
    <row r="47" spans="2:20" x14ac:dyDescent="0.25">
      <c r="C47" t="s">
        <v>942</v>
      </c>
      <c r="D47" t="s">
        <v>954</v>
      </c>
      <c r="F47">
        <v>0.11328414536501391</v>
      </c>
      <c r="H47" t="s">
        <v>946</v>
      </c>
    </row>
    <row r="48" spans="2:20" x14ac:dyDescent="0.25">
      <c r="C48" t="s">
        <v>809</v>
      </c>
      <c r="D48" t="s">
        <v>955</v>
      </c>
      <c r="F48">
        <v>0.24170138316734857</v>
      </c>
      <c r="H48" t="s">
        <v>947</v>
      </c>
    </row>
    <row r="50" spans="3:6" x14ac:dyDescent="0.25">
      <c r="C50" t="s">
        <v>811</v>
      </c>
    </row>
    <row r="51" spans="3:6" x14ac:dyDescent="0.25">
      <c r="C51" t="s">
        <v>810</v>
      </c>
      <c r="D51" t="s">
        <v>950</v>
      </c>
      <c r="F51">
        <v>0.66083250100159852</v>
      </c>
    </row>
    <row r="52" spans="3:6" x14ac:dyDescent="0.25">
      <c r="C52" t="s">
        <v>943</v>
      </c>
    </row>
    <row r="53" spans="3:6" x14ac:dyDescent="0.25">
      <c r="C53" t="s">
        <v>813</v>
      </c>
    </row>
    <row r="54" spans="3:6" x14ac:dyDescent="0.25">
      <c r="C54" t="s">
        <v>814</v>
      </c>
    </row>
    <row r="56" spans="3:6" x14ac:dyDescent="0.25">
      <c r="C56" t="s">
        <v>0</v>
      </c>
      <c r="D56" t="s">
        <v>956</v>
      </c>
      <c r="E56" s="73"/>
      <c r="F56" s="41">
        <v>-4.0660019681458612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K26"/>
  <sheetViews>
    <sheetView workbookViewId="0">
      <selection activeCell="G31" sqref="G31"/>
    </sheetView>
  </sheetViews>
  <sheetFormatPr defaultRowHeight="15" x14ac:dyDescent="0.25"/>
  <sheetData>
    <row r="3" spans="2:11" x14ac:dyDescent="0.25">
      <c r="B3" s="16" t="s">
        <v>353</v>
      </c>
    </row>
    <row r="4" spans="2:11" x14ac:dyDescent="0.25">
      <c r="B4" s="16"/>
    </row>
    <row r="5" spans="2:11" x14ac:dyDescent="0.25">
      <c r="B5" s="16" t="s">
        <v>354</v>
      </c>
    </row>
    <row r="6" spans="2:11" x14ac:dyDescent="0.25">
      <c r="B6" s="16"/>
    </row>
    <row r="7" spans="2:11" x14ac:dyDescent="0.25">
      <c r="B7" s="16" t="s">
        <v>355</v>
      </c>
    </row>
    <row r="8" spans="2:11" x14ac:dyDescent="0.25">
      <c r="B8" s="16"/>
    </row>
    <row r="9" spans="2:11" x14ac:dyDescent="0.25">
      <c r="B9" s="16" t="s">
        <v>356</v>
      </c>
      <c r="K9" s="16" t="s">
        <v>357</v>
      </c>
    </row>
    <row r="11" spans="2:11" x14ac:dyDescent="0.25">
      <c r="B11" s="16"/>
    </row>
    <row r="12" spans="2:11" x14ac:dyDescent="0.25">
      <c r="B12" s="16" t="s">
        <v>358</v>
      </c>
      <c r="K12" s="16" t="s">
        <v>359</v>
      </c>
    </row>
    <row r="14" spans="2:11" x14ac:dyDescent="0.25">
      <c r="B14" s="16"/>
    </row>
    <row r="15" spans="2:11" x14ac:dyDescent="0.25">
      <c r="B15" s="16"/>
    </row>
    <row r="16" spans="2:11" x14ac:dyDescent="0.25">
      <c r="B16" s="117" t="s">
        <v>360</v>
      </c>
    </row>
    <row r="17" spans="2:2" x14ac:dyDescent="0.25">
      <c r="B17" s="16"/>
    </row>
    <row r="18" spans="2:2" x14ac:dyDescent="0.25">
      <c r="B18" s="16" t="s">
        <v>361</v>
      </c>
    </row>
    <row r="19" spans="2:2" x14ac:dyDescent="0.25">
      <c r="B19" s="16"/>
    </row>
    <row r="20" spans="2:2" x14ac:dyDescent="0.25">
      <c r="B20" s="16" t="s">
        <v>362</v>
      </c>
    </row>
    <row r="21" spans="2:2" x14ac:dyDescent="0.25">
      <c r="B21" s="16"/>
    </row>
    <row r="22" spans="2:2" x14ac:dyDescent="0.25">
      <c r="B22" s="16" t="s">
        <v>363</v>
      </c>
    </row>
    <row r="23" spans="2:2" x14ac:dyDescent="0.25">
      <c r="B23" s="16"/>
    </row>
    <row r="24" spans="2:2" x14ac:dyDescent="0.25">
      <c r="B24" s="16" t="s">
        <v>364</v>
      </c>
    </row>
    <row r="25" spans="2:2" x14ac:dyDescent="0.25">
      <c r="B25" s="16"/>
    </row>
    <row r="26" spans="2:2" x14ac:dyDescent="0.25">
      <c r="B26" s="16" t="s">
        <v>365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Summary Contents</vt:lpstr>
      <vt:lpstr>Biases and Emotions</vt:lpstr>
      <vt:lpstr>Economic Indicators - Cycles</vt:lpstr>
      <vt:lpstr>Business Cycle and CME</vt:lpstr>
      <vt:lpstr>Monitary &amp; Fiscal Pcy + Taylor </vt:lpstr>
      <vt:lpstr>CME models</vt:lpstr>
      <vt:lpstr>emerging mkt debt</vt:lpstr>
      <vt:lpstr>SAA - TAA</vt:lpstr>
      <vt:lpstr>Options Strategies</vt:lpstr>
      <vt:lpstr>Options "the Greeks"</vt:lpstr>
      <vt:lpstr>SWAPS, Futures and Forwards</vt:lpstr>
      <vt:lpstr>VIX</vt:lpstr>
      <vt:lpstr>Fixed Income Valuation</vt:lpstr>
      <vt:lpstr>FI deeper dive</vt:lpstr>
      <vt:lpstr>Credit Default SWAPS</vt:lpstr>
      <vt:lpstr>Performance Valuation </vt:lpstr>
      <vt:lpstr>Benchmarks</vt:lpstr>
      <vt:lpstr>Currency FX and Hedging</vt:lpstr>
      <vt:lpstr>Trading and Rebalancing</vt:lpstr>
      <vt:lpstr>Bank Leverage</vt:lpstr>
      <vt:lpstr>Alternative Investments</vt:lpstr>
      <vt:lpstr>Life Insurance - Annuities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Arun Raju</dc:creator>
  <cp:lastModifiedBy>Arun Raju</cp:lastModifiedBy>
  <cp:lastPrinted>2024-03-07T22:10:12Z</cp:lastPrinted>
  <dcterms:created xsi:type="dcterms:W3CDTF">2022-06-23T19:42:19Z</dcterms:created>
  <dcterms:modified xsi:type="dcterms:W3CDTF">2024-04-12T19:25:00Z</dcterms:modified>
</cp:coreProperties>
</file>