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trlProps/ctrlProp1.xml" ContentType="application/vnd.ms-excel.controlproperties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runr\Documents\Arun Raju\Business\Webby\web page updates\2024\"/>
    </mc:Choice>
  </mc:AlternateContent>
  <bookViews>
    <workbookView xWindow="0" yWindow="0" windowWidth="21420" windowHeight="7500" tabRatio="845" activeTab="4"/>
  </bookViews>
  <sheets>
    <sheet name="Cover" sheetId="20" r:id="rId1"/>
    <sheet name="Summary" sheetId="23" r:id="rId2"/>
    <sheet name="Assumptions" sheetId="2" r:id="rId3"/>
    <sheet name="Scenarios" sheetId="7" r:id="rId4"/>
    <sheet name="Model" sheetId="6" r:id="rId5"/>
  </sheets>
  <definedNames>
    <definedName name="_xlnm.Print_Area" localSheetId="2">Assumptions!$B$1:$O$35,Assumptions!$B$38:$N$87</definedName>
    <definedName name="_xlnm.Print_Area" localSheetId="0">Cover!$A$1:$J$25</definedName>
    <definedName name="_xlnm.Print_Area" localSheetId="4">Model!$B$1:$O$51,Model!$B$54:$O$99,Model!$B$102:$O$144,Model!$B$147:$O$180,Model!$B$183:$O$222,Model!$B$225:$O$247,Model!$B$249:$O$293,Model!$B$295:$O$322,Model!$B$324:$O$368,Model!$B$370:$O$405,Model!$B$407:$O$436</definedName>
    <definedName name="_xlnm.Print_Area" localSheetId="3">Scenarios!$B$1:$K$50</definedName>
    <definedName name="_xlnm.Print_Area" localSheetId="1">Summary!$B$2:$P$55</definedName>
  </definedNames>
  <calcPr calcId="152511" iterate="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J432" i="6" l="1"/>
  <c r="J429" i="6"/>
  <c r="J426" i="6"/>
  <c r="J416" i="6"/>
  <c r="J433" i="6" s="1"/>
  <c r="J421" i="6"/>
  <c r="K420" i="6"/>
  <c r="J420" i="6"/>
  <c r="J418" i="6"/>
  <c r="J419" i="6" s="1"/>
  <c r="K417" i="6"/>
  <c r="L417" i="6"/>
  <c r="J417" i="6"/>
  <c r="I435" i="6"/>
  <c r="I432" i="6"/>
  <c r="I429" i="6"/>
  <c r="I426" i="6"/>
  <c r="L137" i="6"/>
  <c r="M137" i="6"/>
  <c r="N137" i="6"/>
  <c r="O137" i="6"/>
  <c r="K137" i="6"/>
  <c r="L215" i="6"/>
  <c r="M215" i="6"/>
  <c r="N215" i="6"/>
  <c r="O215" i="6"/>
  <c r="K215" i="6"/>
  <c r="L210" i="6"/>
  <c r="M210" i="6"/>
  <c r="N210" i="6"/>
  <c r="O210" i="6"/>
  <c r="K210" i="6"/>
  <c r="L206" i="6"/>
  <c r="M206" i="6"/>
  <c r="N206" i="6" s="1"/>
  <c r="O206" i="6" s="1"/>
  <c r="K206" i="6"/>
  <c r="L199" i="6"/>
  <c r="M199" i="6"/>
  <c r="N199" i="6" s="1"/>
  <c r="O199" i="6" s="1"/>
  <c r="K199" i="6"/>
  <c r="L195" i="6"/>
  <c r="M195" i="6"/>
  <c r="N195" i="6"/>
  <c r="O195" i="6"/>
  <c r="K195" i="6"/>
  <c r="L170" i="6"/>
  <c r="M170" i="6"/>
  <c r="N170" i="6"/>
  <c r="O170" i="6"/>
  <c r="L171" i="6"/>
  <c r="M171" i="6"/>
  <c r="N171" i="6"/>
  <c r="O171" i="6"/>
  <c r="K171" i="6"/>
  <c r="K170" i="6"/>
  <c r="K128" i="6"/>
  <c r="L404" i="6"/>
  <c r="M404" i="6"/>
  <c r="N404" i="6"/>
  <c r="O404" i="6"/>
  <c r="K404" i="6"/>
  <c r="L402" i="6"/>
  <c r="M399" i="6" s="1"/>
  <c r="M402" i="6" s="1"/>
  <c r="N399" i="6" s="1"/>
  <c r="N402" i="6" s="1"/>
  <c r="O399" i="6" s="1"/>
  <c r="O402" i="6" s="1"/>
  <c r="K402" i="6"/>
  <c r="L399" i="6" s="1"/>
  <c r="L401" i="6"/>
  <c r="M401" i="6"/>
  <c r="N401" i="6"/>
  <c r="O401" i="6"/>
  <c r="K401" i="6"/>
  <c r="L400" i="6"/>
  <c r="M400" i="6"/>
  <c r="N400" i="6"/>
  <c r="O400" i="6"/>
  <c r="K400" i="6"/>
  <c r="K399" i="6"/>
  <c r="J402" i="6"/>
  <c r="L397" i="6"/>
  <c r="M397" i="6" s="1"/>
  <c r="N397" i="6" s="1"/>
  <c r="O397" i="6" s="1"/>
  <c r="M396" i="6"/>
  <c r="N396" i="6"/>
  <c r="O396" i="6"/>
  <c r="L396" i="6"/>
  <c r="K396" i="6"/>
  <c r="K397" i="6" s="1"/>
  <c r="J397" i="6"/>
  <c r="K389" i="6"/>
  <c r="L383" i="6"/>
  <c r="M383" i="6"/>
  <c r="N383" i="6"/>
  <c r="O383" i="6"/>
  <c r="K383" i="6"/>
  <c r="L381" i="6"/>
  <c r="M379" i="6" s="1"/>
  <c r="M381" i="6" s="1"/>
  <c r="N379" i="6" s="1"/>
  <c r="N381" i="6" s="1"/>
  <c r="O379" i="6" s="1"/>
  <c r="O381" i="6" s="1"/>
  <c r="K381" i="6"/>
  <c r="L379" i="6" s="1"/>
  <c r="L380" i="6"/>
  <c r="M380" i="6"/>
  <c r="N380" i="6"/>
  <c r="O380" i="6"/>
  <c r="K380" i="6"/>
  <c r="K379" i="6"/>
  <c r="J392" i="6"/>
  <c r="J381" i="6"/>
  <c r="L339" i="6"/>
  <c r="L340" i="6" s="1"/>
  <c r="M339" i="6"/>
  <c r="N339" i="6"/>
  <c r="O339" i="6"/>
  <c r="M340" i="6"/>
  <c r="N340" i="6"/>
  <c r="O340" i="6"/>
  <c r="K339" i="6"/>
  <c r="L354" i="6"/>
  <c r="M354" i="6"/>
  <c r="N354" i="6"/>
  <c r="O354" i="6"/>
  <c r="K355" i="6"/>
  <c r="K354" i="6"/>
  <c r="J427" i="6" l="1"/>
  <c r="J430" i="6"/>
  <c r="J435" i="6"/>
  <c r="K350" i="6"/>
  <c r="L345" i="6"/>
  <c r="L346" i="6"/>
  <c r="M346" i="6"/>
  <c r="N346" i="6"/>
  <c r="O346" i="6"/>
  <c r="K360" i="6"/>
  <c r="K346" i="6" s="1"/>
  <c r="K345" i="6"/>
  <c r="L363" i="6"/>
  <c r="M363" i="6"/>
  <c r="N363" i="6"/>
  <c r="O363" i="6"/>
  <c r="K359" i="6"/>
  <c r="K363" i="6"/>
  <c r="K364" i="6" s="1"/>
  <c r="L360" i="6"/>
  <c r="M360" i="6"/>
  <c r="N360" i="6"/>
  <c r="O360" i="6"/>
  <c r="J361" i="6"/>
  <c r="K340" i="6"/>
  <c r="K367" i="6" s="1"/>
  <c r="L337" i="6"/>
  <c r="L335" i="6"/>
  <c r="K337" i="6"/>
  <c r="M335" i="6"/>
  <c r="M337" i="6" s="1"/>
  <c r="N335" i="6" s="1"/>
  <c r="N337" i="6" s="1"/>
  <c r="O335" i="6" s="1"/>
  <c r="O337" i="6" s="1"/>
  <c r="K335" i="6"/>
  <c r="J337" i="6"/>
  <c r="K177" i="6"/>
  <c r="J315" i="6"/>
  <c r="L310" i="6"/>
  <c r="M310" i="6"/>
  <c r="N310" i="6"/>
  <c r="O310" i="6"/>
  <c r="L311" i="6"/>
  <c r="M311" i="6"/>
  <c r="N311" i="6"/>
  <c r="O311" i="6"/>
  <c r="L312" i="6"/>
  <c r="M312" i="6"/>
  <c r="N312" i="6"/>
  <c r="O312" i="6"/>
  <c r="K311" i="6"/>
  <c r="K312" i="6"/>
  <c r="K310" i="6"/>
  <c r="L303" i="6"/>
  <c r="M303" i="6"/>
  <c r="N303" i="6"/>
  <c r="O303" i="6"/>
  <c r="K303" i="6"/>
  <c r="L301" i="6"/>
  <c r="J318" i="6"/>
  <c r="J312" i="6"/>
  <c r="J311" i="6"/>
  <c r="J310" i="6"/>
  <c r="J307" i="6"/>
  <c r="J306" i="6"/>
  <c r="J317" i="6"/>
  <c r="J316" i="6"/>
  <c r="K268" i="6"/>
  <c r="K361" i="6" l="1"/>
  <c r="L359" i="6" s="1"/>
  <c r="L361" i="6" s="1"/>
  <c r="M359" i="6" s="1"/>
  <c r="M364" i="6" s="1"/>
  <c r="M361" i="6" l="1"/>
  <c r="N359" i="6" s="1"/>
  <c r="N361" i="6" s="1"/>
  <c r="O359" i="6" s="1"/>
  <c r="L364" i="6"/>
  <c r="N364" i="6" l="1"/>
  <c r="O361" i="6"/>
  <c r="O364" i="6"/>
  <c r="L260" i="6" l="1"/>
  <c r="K260" i="6"/>
  <c r="M287" i="6"/>
  <c r="L288" i="6"/>
  <c r="L289" i="6"/>
  <c r="L290" i="6" s="1"/>
  <c r="L291" i="6" s="1"/>
  <c r="L292" i="6" s="1"/>
  <c r="L287" i="6"/>
  <c r="K292" i="6"/>
  <c r="K291" i="6"/>
  <c r="K290" i="6"/>
  <c r="K289" i="6"/>
  <c r="K288" i="6"/>
  <c r="K264" i="6"/>
  <c r="K287" i="6"/>
  <c r="F285" i="6"/>
  <c r="E255" i="6"/>
  <c r="F234" i="6" l="1"/>
  <c r="L236" i="6"/>
  <c r="M236" i="6"/>
  <c r="N236" i="6"/>
  <c r="O236" i="6"/>
  <c r="K236" i="6"/>
  <c r="F233" i="6"/>
  <c r="L163" i="6"/>
  <c r="E240" i="6" s="1"/>
  <c r="K163" i="6"/>
  <c r="E239" i="6"/>
  <c r="L122" i="6"/>
  <c r="M122" i="6"/>
  <c r="N122" i="6"/>
  <c r="O122" i="6"/>
  <c r="K122" i="6"/>
  <c r="K119" i="6"/>
  <c r="K96" i="6"/>
  <c r="K91" i="6"/>
  <c r="K92" i="6"/>
  <c r="K93" i="6"/>
  <c r="K94" i="6"/>
  <c r="K95" i="6"/>
  <c r="K90" i="6"/>
  <c r="K69" i="6"/>
  <c r="K68" i="6"/>
  <c r="K67" i="6"/>
  <c r="K239" i="6" l="1"/>
  <c r="L239" i="6" s="1"/>
  <c r="M239" i="6" s="1"/>
  <c r="N239" i="6" s="1"/>
  <c r="L240" i="6"/>
  <c r="M240" i="6" s="1"/>
  <c r="L39" i="6"/>
  <c r="M39" i="6"/>
  <c r="N39" i="6"/>
  <c r="O39" i="6"/>
  <c r="L38" i="6"/>
  <c r="M38" i="6"/>
  <c r="N38" i="6"/>
  <c r="O38" i="6"/>
  <c r="L37" i="6"/>
  <c r="M37" i="6"/>
  <c r="N37" i="6"/>
  <c r="O37" i="6"/>
  <c r="M26" i="6"/>
  <c r="M28" i="6" s="1"/>
  <c r="N26" i="6"/>
  <c r="O26" i="6" s="1"/>
  <c r="O28" i="6" s="1"/>
  <c r="M27" i="6"/>
  <c r="N27" i="6"/>
  <c r="O27" i="6"/>
  <c r="L27" i="6"/>
  <c r="L26" i="6"/>
  <c r="K39" i="6"/>
  <c r="K38" i="6"/>
  <c r="K37" i="6"/>
  <c r="M31" i="6"/>
  <c r="N31" i="6" s="1"/>
  <c r="O31" i="6" s="1"/>
  <c r="L31" i="6"/>
  <c r="K31" i="6"/>
  <c r="K28" i="6"/>
  <c r="K27" i="6"/>
  <c r="K26" i="6"/>
  <c r="O1" i="6"/>
  <c r="K245" i="6" l="1"/>
  <c r="O239" i="6"/>
  <c r="N240" i="6"/>
  <c r="O240" i="6" s="1"/>
  <c r="N28" i="6"/>
  <c r="L28" i="6"/>
  <c r="K259" i="6" l="1"/>
  <c r="K125" i="6"/>
  <c r="G28" i="7"/>
  <c r="K13" i="6" s="1"/>
  <c r="H32" i="7"/>
  <c r="I32" i="7"/>
  <c r="J32" i="7"/>
  <c r="K32" i="7"/>
  <c r="H31" i="7"/>
  <c r="I31" i="7"/>
  <c r="J31" i="7"/>
  <c r="K31" i="7"/>
  <c r="G32" i="7"/>
  <c r="G31" i="7"/>
  <c r="C31" i="7"/>
  <c r="C32" i="7"/>
  <c r="K42" i="7"/>
  <c r="O32" i="6" s="1"/>
  <c r="J42" i="7"/>
  <c r="N32" i="6" s="1"/>
  <c r="I42" i="7"/>
  <c r="M32" i="6" s="1"/>
  <c r="H42" i="7"/>
  <c r="L32" i="6" s="1"/>
  <c r="G42" i="7"/>
  <c r="K32" i="6" s="1"/>
  <c r="K33" i="6" s="1"/>
  <c r="K28" i="7"/>
  <c r="O13" i="6" s="1"/>
  <c r="J28" i="7"/>
  <c r="N13" i="6" s="1"/>
  <c r="I28" i="7"/>
  <c r="M13" i="6" s="1"/>
  <c r="H28" i="7"/>
  <c r="L13" i="6" s="1"/>
  <c r="G6" i="7"/>
  <c r="K18" i="7"/>
  <c r="O9" i="6" s="1"/>
  <c r="J18" i="7"/>
  <c r="N9" i="6" s="1"/>
  <c r="I18" i="7"/>
  <c r="M9" i="6" s="1"/>
  <c r="H18" i="7"/>
  <c r="L9" i="6" s="1"/>
  <c r="G18" i="7"/>
  <c r="K9" i="6" s="1"/>
  <c r="H11" i="7"/>
  <c r="L10" i="6" s="1"/>
  <c r="I11" i="7"/>
  <c r="M10" i="6" s="1"/>
  <c r="J11" i="7"/>
  <c r="N10" i="6" s="1"/>
  <c r="K11" i="7"/>
  <c r="O10" i="6" s="1"/>
  <c r="G11" i="7"/>
  <c r="K10" i="6" s="1"/>
  <c r="G48" i="2"/>
  <c r="B1" i="2"/>
  <c r="L33" i="6" l="1"/>
  <c r="K34" i="6"/>
  <c r="K14" i="6"/>
  <c r="K15" i="6" s="1"/>
  <c r="K21" i="6"/>
  <c r="L21" i="6" s="1"/>
  <c r="M21" i="6" s="1"/>
  <c r="N21" i="6" s="1"/>
  <c r="K156" i="6"/>
  <c r="K198" i="6" s="1"/>
  <c r="M33" i="6" l="1"/>
  <c r="L34" i="6"/>
  <c r="O21" i="6"/>
  <c r="L14" i="6"/>
  <c r="K41" i="6"/>
  <c r="K47" i="6" s="1"/>
  <c r="K113" i="6" s="1"/>
  <c r="C39" i="7"/>
  <c r="C38" i="7"/>
  <c r="J62" i="6"/>
  <c r="I62" i="6"/>
  <c r="H62" i="6"/>
  <c r="K42" i="6" l="1"/>
  <c r="K49" i="6" s="1"/>
  <c r="L41" i="6"/>
  <c r="L47" i="6" s="1"/>
  <c r="M14" i="6"/>
  <c r="L15" i="6"/>
  <c r="N33" i="6"/>
  <c r="M34" i="6"/>
  <c r="M62" i="6" s="1"/>
  <c r="D277" i="6"/>
  <c r="B2" i="23"/>
  <c r="B38" i="2"/>
  <c r="B2" i="6"/>
  <c r="B55" i="6" s="1"/>
  <c r="Y34" i="23"/>
  <c r="Z34" i="23" s="1"/>
  <c r="AA34" i="23" s="1"/>
  <c r="AB34" i="23" s="1"/>
  <c r="AC34" i="23" s="1"/>
  <c r="AD34" i="23" s="1"/>
  <c r="Y33" i="23"/>
  <c r="Z33" i="23" s="1"/>
  <c r="AA33" i="23" s="1"/>
  <c r="AB33" i="23" s="1"/>
  <c r="AC33" i="23" s="1"/>
  <c r="AD33" i="23" s="1"/>
  <c r="Y31" i="23"/>
  <c r="Z31" i="23" s="1"/>
  <c r="AA31" i="23" s="1"/>
  <c r="AB31" i="23" s="1"/>
  <c r="AC31" i="23" s="1"/>
  <c r="AD31" i="23" s="1"/>
  <c r="Y21" i="23"/>
  <c r="X21" i="23"/>
  <c r="W21" i="23"/>
  <c r="W19" i="23"/>
  <c r="X19" i="23"/>
  <c r="Y19" i="23"/>
  <c r="E51" i="23"/>
  <c r="E50" i="23"/>
  <c r="U26" i="23"/>
  <c r="U25" i="23"/>
  <c r="K7" i="6"/>
  <c r="L63" i="6"/>
  <c r="M63" i="6"/>
  <c r="N63" i="6"/>
  <c r="O63" i="6"/>
  <c r="J9" i="2"/>
  <c r="K39" i="7"/>
  <c r="K35" i="7" s="1"/>
  <c r="O18" i="6" s="1"/>
  <c r="O20" i="6" s="1"/>
  <c r="O22" i="6" s="1"/>
  <c r="J39" i="7"/>
  <c r="J35" i="7" s="1"/>
  <c r="N18" i="6" s="1"/>
  <c r="N20" i="6" s="1"/>
  <c r="N22" i="6" s="1"/>
  <c r="I39" i="7"/>
  <c r="I35" i="7" s="1"/>
  <c r="M18" i="6" s="1"/>
  <c r="M20" i="6" s="1"/>
  <c r="M22" i="6" s="1"/>
  <c r="H39" i="7"/>
  <c r="H35" i="7" s="1"/>
  <c r="L18" i="6" s="1"/>
  <c r="L20" i="6" s="1"/>
  <c r="L22" i="6" s="1"/>
  <c r="K38" i="7"/>
  <c r="J38" i="7"/>
  <c r="I38" i="7"/>
  <c r="H38" i="7"/>
  <c r="G39" i="7"/>
  <c r="G35" i="7" s="1"/>
  <c r="K18" i="6" s="1"/>
  <c r="K20" i="6" s="1"/>
  <c r="K22" i="6" s="1"/>
  <c r="G38" i="7"/>
  <c r="I64" i="2"/>
  <c r="J64" i="2"/>
  <c r="K64" i="2"/>
  <c r="G64" i="2"/>
  <c r="H64" i="2"/>
  <c r="C22" i="7"/>
  <c r="C46" i="7" s="1"/>
  <c r="C21" i="7"/>
  <c r="C45" i="7" s="1"/>
  <c r="C20" i="7"/>
  <c r="C44" i="7" s="1"/>
  <c r="C37" i="7"/>
  <c r="H53" i="2"/>
  <c r="AA21" i="23"/>
  <c r="G53" i="2"/>
  <c r="C13" i="7"/>
  <c r="S6" i="23"/>
  <c r="J7" i="2"/>
  <c r="H48" i="2"/>
  <c r="D43" i="2" s="1"/>
  <c r="D7" i="2"/>
  <c r="K24" i="2"/>
  <c r="Y27" i="23"/>
  <c r="K164" i="6"/>
  <c r="L164" i="6" s="1"/>
  <c r="J245" i="6"/>
  <c r="I245" i="6"/>
  <c r="H245" i="6"/>
  <c r="J110" i="6"/>
  <c r="I110" i="6"/>
  <c r="Z19" i="23"/>
  <c r="F68" i="6"/>
  <c r="F69" i="6"/>
  <c r="F72" i="6"/>
  <c r="F73" i="6"/>
  <c r="F74" i="6" s="1"/>
  <c r="F75" i="6" s="1"/>
  <c r="F76" i="6" s="1"/>
  <c r="F77" i="6" s="1"/>
  <c r="F78" i="6" s="1"/>
  <c r="F80" i="6" s="1"/>
  <c r="C14" i="7"/>
  <c r="C15" i="7"/>
  <c r="C30" i="7"/>
  <c r="I50" i="2"/>
  <c r="Z21" i="23"/>
  <c r="K165" i="6"/>
  <c r="J221" i="6"/>
  <c r="H110" i="6"/>
  <c r="D280" i="6"/>
  <c r="O54" i="6"/>
  <c r="O102" i="6" s="1"/>
  <c r="O225" i="6" s="1"/>
  <c r="B1" i="7"/>
  <c r="H6" i="7"/>
  <c r="I6" i="7" s="1"/>
  <c r="X12" i="23"/>
  <c r="K110" i="6"/>
  <c r="K62" i="6"/>
  <c r="Y12" i="23"/>
  <c r="L110" i="6"/>
  <c r="L62" i="6"/>
  <c r="Y26" i="23"/>
  <c r="Y25" i="23"/>
  <c r="L91" i="6" l="1"/>
  <c r="L92" i="6"/>
  <c r="L93" i="6"/>
  <c r="L119" i="6"/>
  <c r="M119" i="6" s="1"/>
  <c r="N119" i="6" s="1"/>
  <c r="O119" i="6" s="1"/>
  <c r="L94" i="6"/>
  <c r="L67" i="6"/>
  <c r="L95" i="6"/>
  <c r="L90" i="6"/>
  <c r="L68" i="6"/>
  <c r="N14" i="6"/>
  <c r="M15" i="6"/>
  <c r="K115" i="6"/>
  <c r="L113" i="6"/>
  <c r="L42" i="6"/>
  <c r="M41" i="6"/>
  <c r="M47" i="6" s="1"/>
  <c r="M113" i="6" s="1"/>
  <c r="K76" i="6"/>
  <c r="K72" i="6"/>
  <c r="K77" i="6"/>
  <c r="K86" i="6"/>
  <c r="K75" i="6"/>
  <c r="K85" i="6"/>
  <c r="K73" i="6"/>
  <c r="K74" i="6"/>
  <c r="O33" i="6"/>
  <c r="O34" i="6" s="1"/>
  <c r="O110" i="6" s="1"/>
  <c r="N34" i="6"/>
  <c r="K43" i="6"/>
  <c r="K48" i="6"/>
  <c r="K114" i="6" s="1"/>
  <c r="J50" i="2"/>
  <c r="K50" i="2" s="1"/>
  <c r="K53" i="2" s="1"/>
  <c r="O163" i="6" s="1"/>
  <c r="O417" i="6" s="1"/>
  <c r="I53" i="2"/>
  <c r="M163" i="6" s="1"/>
  <c r="M110" i="6"/>
  <c r="Y13" i="23"/>
  <c r="B226" i="6"/>
  <c r="B296" i="6"/>
  <c r="B325" i="6"/>
  <c r="B371" i="6" s="1"/>
  <c r="B250" i="6"/>
  <c r="B184" i="6"/>
  <c r="B148" i="6"/>
  <c r="B103" i="6"/>
  <c r="B408" i="6"/>
  <c r="K189" i="6"/>
  <c r="Z9" i="23"/>
  <c r="J9" i="23" s="1"/>
  <c r="J34" i="23" s="1"/>
  <c r="K231" i="6"/>
  <c r="D239" i="6" s="1"/>
  <c r="D240" i="6" s="1"/>
  <c r="D241" i="6" s="1"/>
  <c r="D242" i="6" s="1"/>
  <c r="D243" i="6" s="1"/>
  <c r="K108" i="6"/>
  <c r="J7" i="6"/>
  <c r="J413" i="6" s="1"/>
  <c r="K376" i="6"/>
  <c r="K255" i="6"/>
  <c r="L7" i="6"/>
  <c r="M7" i="6"/>
  <c r="J6" i="7"/>
  <c r="I48" i="2"/>
  <c r="J48" i="2" s="1"/>
  <c r="K48" i="2" s="1"/>
  <c r="K60" i="6"/>
  <c r="K301" i="6"/>
  <c r="K153" i="6"/>
  <c r="G59" i="2"/>
  <c r="K330" i="6"/>
  <c r="K413" i="6"/>
  <c r="M164" i="6"/>
  <c r="L165" i="6"/>
  <c r="X15" i="23"/>
  <c r="X16" i="23" s="1"/>
  <c r="O249" i="6"/>
  <c r="O295" i="6" s="1"/>
  <c r="O147" i="6"/>
  <c r="O183" i="6" s="1"/>
  <c r="K87" i="6" l="1"/>
  <c r="K98" i="6" s="1"/>
  <c r="K118" i="6" s="1"/>
  <c r="K307" i="6" s="1"/>
  <c r="K116" i="6"/>
  <c r="K306" i="6" s="1"/>
  <c r="K315" i="6" s="1"/>
  <c r="L72" i="6"/>
  <c r="M90" i="6"/>
  <c r="L96" i="6"/>
  <c r="M67" i="6"/>
  <c r="L85" i="6"/>
  <c r="L69" i="6"/>
  <c r="K120" i="6"/>
  <c r="K78" i="6"/>
  <c r="K80" i="6" s="1"/>
  <c r="K50" i="6"/>
  <c r="Z12" i="23" s="1"/>
  <c r="Z13" i="23" s="1"/>
  <c r="L76" i="6"/>
  <c r="M94" i="6"/>
  <c r="O41" i="6"/>
  <c r="O47" i="6" s="1"/>
  <c r="O113" i="6" s="1"/>
  <c r="O62" i="6"/>
  <c r="J53" i="2"/>
  <c r="N163" i="6" s="1"/>
  <c r="N417" i="6" s="1"/>
  <c r="M93" i="6"/>
  <c r="L75" i="6"/>
  <c r="L77" i="6"/>
  <c r="M95" i="6"/>
  <c r="N41" i="6"/>
  <c r="N47" i="6" s="1"/>
  <c r="N113" i="6" s="1"/>
  <c r="N110" i="6"/>
  <c r="N62" i="6"/>
  <c r="M42" i="6"/>
  <c r="O14" i="6"/>
  <c r="N15" i="6"/>
  <c r="M92" i="6"/>
  <c r="L74" i="6"/>
  <c r="M288" i="6"/>
  <c r="M417" i="6"/>
  <c r="E241" i="6"/>
  <c r="M241" i="6" s="1"/>
  <c r="N241" i="6" s="1"/>
  <c r="O241" i="6" s="1"/>
  <c r="AB21" i="23"/>
  <c r="L43" i="6"/>
  <c r="L48" i="6"/>
  <c r="L49" i="6"/>
  <c r="L115" i="6" s="1"/>
  <c r="L86" i="6"/>
  <c r="M68" i="6"/>
  <c r="M91" i="6"/>
  <c r="L73" i="6"/>
  <c r="O288" i="6"/>
  <c r="E243" i="6"/>
  <c r="O243" i="6" s="1"/>
  <c r="AD21" i="23"/>
  <c r="J60" i="6"/>
  <c r="J108" i="6" s="1"/>
  <c r="Y9" i="23"/>
  <c r="I9" i="23" s="1"/>
  <c r="I34" i="23" s="1"/>
  <c r="I7" i="6"/>
  <c r="J376" i="6"/>
  <c r="J153" i="6"/>
  <c r="J231" i="6"/>
  <c r="L376" i="6"/>
  <c r="L330" i="6"/>
  <c r="L108" i="6"/>
  <c r="L189" i="6"/>
  <c r="L255" i="6"/>
  <c r="L413" i="6"/>
  <c r="L231" i="6"/>
  <c r="AA9" i="23"/>
  <c r="K9" i="23" s="1"/>
  <c r="K34" i="23" s="1"/>
  <c r="J330" i="6"/>
  <c r="L60" i="6"/>
  <c r="J189" i="6"/>
  <c r="J301" i="6"/>
  <c r="L153" i="6"/>
  <c r="G70" i="2"/>
  <c r="H59" i="2"/>
  <c r="I59" i="2" s="1"/>
  <c r="J59" i="2" s="1"/>
  <c r="K59" i="2" s="1"/>
  <c r="K6" i="7"/>
  <c r="N7" i="6"/>
  <c r="M231" i="6"/>
  <c r="M376" i="6"/>
  <c r="M60" i="6"/>
  <c r="M413" i="6"/>
  <c r="M301" i="6"/>
  <c r="AB9" i="23"/>
  <c r="L9" i="23" s="1"/>
  <c r="L34" i="23" s="1"/>
  <c r="M255" i="6"/>
  <c r="M108" i="6"/>
  <c r="M330" i="6"/>
  <c r="M189" i="6"/>
  <c r="M153" i="6"/>
  <c r="N164" i="6"/>
  <c r="M165" i="6"/>
  <c r="M345" i="6" s="1"/>
  <c r="Y15" i="23"/>
  <c r="O324" i="6"/>
  <c r="O370" i="6" s="1"/>
  <c r="O407" i="6"/>
  <c r="W12" i="23"/>
  <c r="X13" i="23" s="1"/>
  <c r="AC21" i="23" l="1"/>
  <c r="K123" i="6"/>
  <c r="K141" i="6" s="1"/>
  <c r="E242" i="6"/>
  <c r="N242" i="6" s="1"/>
  <c r="O242" i="6" s="1"/>
  <c r="N288" i="6"/>
  <c r="K317" i="6"/>
  <c r="K316" i="6"/>
  <c r="M48" i="6"/>
  <c r="M43" i="6"/>
  <c r="O42" i="6"/>
  <c r="O49" i="6" s="1"/>
  <c r="M73" i="6"/>
  <c r="N91" i="6"/>
  <c r="M76" i="6"/>
  <c r="N94" i="6"/>
  <c r="N67" i="6"/>
  <c r="M85" i="6"/>
  <c r="M69" i="6"/>
  <c r="K416" i="6"/>
  <c r="K126" i="6"/>
  <c r="Z15" i="23"/>
  <c r="Z16" i="23" s="1"/>
  <c r="N68" i="6"/>
  <c r="M86" i="6"/>
  <c r="M289" i="6"/>
  <c r="M290" i="6" s="1"/>
  <c r="M291" i="6" s="1"/>
  <c r="N93" i="6"/>
  <c r="M75" i="6"/>
  <c r="L87" i="6"/>
  <c r="L98" i="6" s="1"/>
  <c r="L118" i="6" s="1"/>
  <c r="M49" i="6"/>
  <c r="M115" i="6" s="1"/>
  <c r="O15" i="6"/>
  <c r="N92" i="6"/>
  <c r="M74" i="6"/>
  <c r="N42" i="6"/>
  <c r="N90" i="6"/>
  <c r="M72" i="6"/>
  <c r="M96" i="6"/>
  <c r="L114" i="6"/>
  <c r="L116" i="6" s="1"/>
  <c r="L50" i="6"/>
  <c r="AA12" i="23" s="1"/>
  <c r="AA13" i="23" s="1"/>
  <c r="M77" i="6"/>
  <c r="N95" i="6"/>
  <c r="L78" i="6"/>
  <c r="L80" i="6" s="1"/>
  <c r="N289" i="6"/>
  <c r="O289" i="6"/>
  <c r="X9" i="23"/>
  <c r="H9" i="23" s="1"/>
  <c r="H34" i="23" s="1"/>
  <c r="I301" i="6"/>
  <c r="H7" i="6"/>
  <c r="I153" i="6"/>
  <c r="I60" i="6"/>
  <c r="I108" i="6"/>
  <c r="I231" i="6"/>
  <c r="O7" i="6"/>
  <c r="E13" i="2"/>
  <c r="H70" i="2"/>
  <c r="I70" i="2" s="1"/>
  <c r="J70" i="2" s="1"/>
  <c r="K70" i="2" s="1"/>
  <c r="G80" i="2"/>
  <c r="H80" i="2" s="1"/>
  <c r="I80" i="2" s="1"/>
  <c r="J80" i="2" s="1"/>
  <c r="K80" i="2" s="1"/>
  <c r="N255" i="6"/>
  <c r="N60" i="6"/>
  <c r="N376" i="6"/>
  <c r="N330" i="6"/>
  <c r="N189" i="6"/>
  <c r="N153" i="6"/>
  <c r="N108" i="6"/>
  <c r="N231" i="6"/>
  <c r="N301" i="6"/>
  <c r="N413" i="6"/>
  <c r="AC9" i="23"/>
  <c r="M9" i="23" s="1"/>
  <c r="M34" i="23" s="1"/>
  <c r="N165" i="6"/>
  <c r="N345" i="6" s="1"/>
  <c r="O164" i="6"/>
  <c r="O165" i="6" s="1"/>
  <c r="O345" i="6" s="1"/>
  <c r="Y16" i="23"/>
  <c r="Y17" i="23"/>
  <c r="W15" i="23"/>
  <c r="M260" i="6" l="1"/>
  <c r="M292" i="6"/>
  <c r="N287" i="6" s="1"/>
  <c r="N290" i="6"/>
  <c r="N291" i="6" s="1"/>
  <c r="N260" i="6" s="1"/>
  <c r="L307" i="6"/>
  <c r="L120" i="6"/>
  <c r="O92" i="6"/>
  <c r="O74" i="6" s="1"/>
  <c r="N74" i="6"/>
  <c r="K433" i="6"/>
  <c r="K430" i="6"/>
  <c r="K429" i="6"/>
  <c r="Z26" i="23" s="1"/>
  <c r="K432" i="6"/>
  <c r="O95" i="6"/>
  <c r="O77" i="6" s="1"/>
  <c r="N77" i="6"/>
  <c r="O48" i="6"/>
  <c r="O114" i="6" s="1"/>
  <c r="O43" i="6"/>
  <c r="O50" i="6"/>
  <c r="AD12" i="23" s="1"/>
  <c r="O115" i="6"/>
  <c r="M50" i="6"/>
  <c r="AB12" i="23" s="1"/>
  <c r="AB13" i="23" s="1"/>
  <c r="M114" i="6"/>
  <c r="M116" i="6" s="1"/>
  <c r="K142" i="6"/>
  <c r="K129" i="6"/>
  <c r="K257" i="6" s="1"/>
  <c r="K261" i="6" s="1"/>
  <c r="L306" i="6"/>
  <c r="L315" i="6" s="1"/>
  <c r="L123" i="6"/>
  <c r="M78" i="6"/>
  <c r="M80" i="6" s="1"/>
  <c r="M87" i="6"/>
  <c r="M98" i="6" s="1"/>
  <c r="M118" i="6" s="1"/>
  <c r="O67" i="6"/>
  <c r="N85" i="6"/>
  <c r="N69" i="6"/>
  <c r="N48" i="6"/>
  <c r="N114" i="6" s="1"/>
  <c r="N43" i="6"/>
  <c r="N49" i="6"/>
  <c r="N73" i="6"/>
  <c r="O91" i="6"/>
  <c r="O73" i="6" s="1"/>
  <c r="N75" i="6"/>
  <c r="O93" i="6"/>
  <c r="Z17" i="23"/>
  <c r="O90" i="6"/>
  <c r="N96" i="6"/>
  <c r="N72" i="6"/>
  <c r="O68" i="6"/>
  <c r="O86" i="6" s="1"/>
  <c r="N86" i="6"/>
  <c r="N76" i="6"/>
  <c r="O94" i="6"/>
  <c r="O76" i="6" s="1"/>
  <c r="H153" i="6"/>
  <c r="H231" i="6"/>
  <c r="H60" i="6"/>
  <c r="W9" i="23"/>
  <c r="G9" i="23" s="1"/>
  <c r="G34" i="23" s="1"/>
  <c r="H108" i="6"/>
  <c r="AD9" i="23"/>
  <c r="N9" i="23" s="1"/>
  <c r="N34" i="23" s="1"/>
  <c r="O255" i="6"/>
  <c r="O60" i="6"/>
  <c r="O301" i="6"/>
  <c r="O189" i="6"/>
  <c r="O108" i="6"/>
  <c r="O413" i="6"/>
  <c r="O231" i="6"/>
  <c r="O330" i="6"/>
  <c r="O153" i="6"/>
  <c r="O376" i="6"/>
  <c r="X17" i="23"/>
  <c r="W16" i="23"/>
  <c r="N87" i="6" l="1"/>
  <c r="N98" i="6" s="1"/>
  <c r="N118" i="6" s="1"/>
  <c r="N292" i="6"/>
  <c r="O287" i="6" s="1"/>
  <c r="O290" i="6" s="1"/>
  <c r="O291" i="6" s="1"/>
  <c r="O260" i="6" s="1"/>
  <c r="M307" i="6"/>
  <c r="M120" i="6"/>
  <c r="M123" i="6" s="1"/>
  <c r="L416" i="6"/>
  <c r="L141" i="6"/>
  <c r="AA15" i="23"/>
  <c r="O292" i="6"/>
  <c r="N50" i="6"/>
  <c r="AC12" i="23" s="1"/>
  <c r="AC13" i="23" s="1"/>
  <c r="N115" i="6"/>
  <c r="O116" i="6"/>
  <c r="K265" i="6"/>
  <c r="K266" i="6" s="1"/>
  <c r="K269" i="6" s="1"/>
  <c r="K275" i="6" s="1"/>
  <c r="K280" i="6" s="1"/>
  <c r="K277" i="6"/>
  <c r="O72" i="6"/>
  <c r="O96" i="6"/>
  <c r="O78" i="6"/>
  <c r="O80" i="6" s="1"/>
  <c r="O75" i="6"/>
  <c r="M306" i="6"/>
  <c r="M315" i="6" s="1"/>
  <c r="N78" i="6"/>
  <c r="N80" i="6" s="1"/>
  <c r="N116" i="6"/>
  <c r="O85" i="6"/>
  <c r="O87" i="6" s="1"/>
  <c r="O69" i="6"/>
  <c r="L316" i="6"/>
  <c r="L317" i="6"/>
  <c r="AA17" i="23" l="1"/>
  <c r="AA16" i="23"/>
  <c r="N306" i="6"/>
  <c r="N315" i="6" s="1"/>
  <c r="K131" i="6"/>
  <c r="N307" i="6"/>
  <c r="N120" i="6"/>
  <c r="N123" i="6" s="1"/>
  <c r="AD13" i="23"/>
  <c r="K281" i="6"/>
  <c r="K282" i="6" s="1"/>
  <c r="O306" i="6"/>
  <c r="O315" i="6" s="1"/>
  <c r="O98" i="6"/>
  <c r="O118" i="6" s="1"/>
  <c r="L430" i="6"/>
  <c r="M416" i="6"/>
  <c r="M141" i="6"/>
  <c r="AB15" i="23"/>
  <c r="M316" i="6"/>
  <c r="M317" i="6"/>
  <c r="L264" i="6"/>
  <c r="K272" i="6"/>
  <c r="N141" i="6" l="1"/>
  <c r="N416" i="6"/>
  <c r="AC15" i="23"/>
  <c r="N316" i="6"/>
  <c r="N317" i="6"/>
  <c r="AB17" i="23"/>
  <c r="AB16" i="23"/>
  <c r="O307" i="6"/>
  <c r="O120" i="6"/>
  <c r="O123" i="6" s="1"/>
  <c r="K132" i="6"/>
  <c r="K157" i="6" s="1"/>
  <c r="K209" i="6"/>
  <c r="K211" i="6" s="1"/>
  <c r="K270" i="6"/>
  <c r="L268" i="6" s="1"/>
  <c r="AC17" i="23" l="1"/>
  <c r="AC16" i="23"/>
  <c r="K133" i="6"/>
  <c r="K135" i="6" s="1"/>
  <c r="O316" i="6"/>
  <c r="O317" i="6"/>
  <c r="O141" i="6"/>
  <c r="O416" i="6"/>
  <c r="AD15" i="23"/>
  <c r="K273" i="6"/>
  <c r="AD17" i="23" l="1"/>
  <c r="AD16" i="23"/>
  <c r="K384" i="6"/>
  <c r="K155" i="6"/>
  <c r="K138" i="6"/>
  <c r="L245" i="6"/>
  <c r="M245" i="6"/>
  <c r="N245" i="6"/>
  <c r="O245" i="6"/>
  <c r="K390" i="6" l="1"/>
  <c r="K385" i="6"/>
  <c r="N259" i="6"/>
  <c r="N125" i="6"/>
  <c r="O259" i="6"/>
  <c r="O125" i="6"/>
  <c r="M259" i="6"/>
  <c r="M125" i="6"/>
  <c r="L259" i="6"/>
  <c r="L125" i="6"/>
  <c r="K391" i="6" l="1"/>
  <c r="K347" i="6" s="1"/>
  <c r="K172" i="6"/>
  <c r="L126" i="6"/>
  <c r="L142" i="6" s="1"/>
  <c r="L156" i="6"/>
  <c r="L198" i="6" s="1"/>
  <c r="O126" i="6"/>
  <c r="O142" i="6" s="1"/>
  <c r="O156" i="6"/>
  <c r="N126" i="6"/>
  <c r="N142" i="6" s="1"/>
  <c r="N156" i="6"/>
  <c r="M126" i="6"/>
  <c r="M142" i="6" s="1"/>
  <c r="M156" i="6"/>
  <c r="K392" i="6" l="1"/>
  <c r="L389" i="6" s="1"/>
  <c r="K216" i="6"/>
  <c r="K217" i="6" s="1"/>
  <c r="K143" i="6" s="1"/>
  <c r="M198" i="6"/>
  <c r="N198" i="6" l="1"/>
  <c r="O198" i="6" l="1"/>
  <c r="K193" i="6"/>
  <c r="L193" i="6"/>
  <c r="M193" i="6"/>
  <c r="N193" i="6"/>
  <c r="O193" i="6"/>
  <c r="K194" i="6"/>
  <c r="L194" i="6"/>
  <c r="M194" i="6"/>
  <c r="N194" i="6"/>
  <c r="O194" i="6"/>
  <c r="K205" i="6"/>
  <c r="K318" i="6"/>
  <c r="K320" i="6" s="1"/>
  <c r="K158" i="6" s="1"/>
  <c r="K159" i="6" s="1"/>
  <c r="K344" i="6" l="1"/>
  <c r="K348" i="6" s="1"/>
  <c r="K351" i="6" s="1"/>
  <c r="K169" i="6" l="1"/>
  <c r="K173" i="6" s="1"/>
  <c r="K176" i="6" s="1"/>
  <c r="K352" i="6"/>
  <c r="K418" i="6" s="1"/>
  <c r="K419" i="6" s="1"/>
  <c r="K421" i="6" l="1"/>
  <c r="K435" i="6" s="1"/>
  <c r="Z27" i="23" s="1"/>
  <c r="K426" i="6"/>
  <c r="Z25" i="23" s="1"/>
  <c r="K427" i="6"/>
  <c r="K204" i="6"/>
  <c r="K207" i="6" s="1"/>
  <c r="K213" i="6" s="1"/>
  <c r="K219" i="6" s="1"/>
  <c r="L350" i="6"/>
  <c r="K336" i="6"/>
  <c r="K178" i="6"/>
  <c r="L355" i="6" l="1"/>
  <c r="L367" i="6" s="1"/>
  <c r="L128" i="6" s="1"/>
  <c r="L420" i="6" s="1"/>
  <c r="L177" i="6"/>
  <c r="K192" i="6"/>
  <c r="K196" i="6" s="1"/>
  <c r="K200" i="6" s="1"/>
  <c r="K221" i="6" s="1"/>
  <c r="L432" i="6" l="1"/>
  <c r="L429" i="6"/>
  <c r="AA26" i="23" s="1"/>
  <c r="L433" i="6"/>
  <c r="M430" i="6"/>
  <c r="L129" i="6"/>
  <c r="AA19" i="23"/>
  <c r="L257" i="6" l="1"/>
  <c r="L261" i="6" s="1"/>
  <c r="L277" i="6" l="1"/>
  <c r="L265" i="6"/>
  <c r="L272" i="6" l="1"/>
  <c r="M264" i="6"/>
  <c r="L266" i="6"/>
  <c r="L269" i="6" l="1"/>
  <c r="L270" i="6" s="1"/>
  <c r="M268" i="6" s="1"/>
  <c r="L273" i="6" l="1"/>
  <c r="L275" i="6"/>
  <c r="L280" i="6" s="1"/>
  <c r="L131" i="6"/>
  <c r="L281" i="6"/>
  <c r="L132" i="6" l="1"/>
  <c r="L157" i="6" s="1"/>
  <c r="L209" i="6"/>
  <c r="L282" i="6"/>
  <c r="L133" i="6" l="1"/>
  <c r="L135" i="6" s="1"/>
  <c r="L384" i="6"/>
  <c r="L138" i="6"/>
  <c r="L155" i="6"/>
  <c r="L211" i="6"/>
  <c r="L385" i="6" l="1"/>
  <c r="L390" i="6"/>
  <c r="L391" i="6" l="1"/>
  <c r="L347" i="6" s="1"/>
  <c r="L172" i="6"/>
  <c r="L392" i="6" l="1"/>
  <c r="L216" i="6" l="1"/>
  <c r="L217" i="6" s="1"/>
  <c r="L143" i="6" s="1"/>
  <c r="M389" i="6"/>
  <c r="L205" i="6"/>
  <c r="M205" i="6"/>
  <c r="N205" i="6"/>
  <c r="O205" i="6"/>
  <c r="L318" i="6"/>
  <c r="L320" i="6" s="1"/>
  <c r="L158" i="6" s="1"/>
  <c r="L159" i="6" s="1"/>
  <c r="M318" i="6"/>
  <c r="N320" i="6" s="1"/>
  <c r="N158" i="6" s="1"/>
  <c r="N318" i="6"/>
  <c r="O318" i="6"/>
  <c r="O320" i="6" l="1"/>
  <c r="O158" i="6" s="1"/>
  <c r="L344" i="6"/>
  <c r="L348" i="6" s="1"/>
  <c r="L351" i="6" s="1"/>
  <c r="M320" i="6"/>
  <c r="M158" i="6" s="1"/>
  <c r="L169" i="6" l="1"/>
  <c r="L173" i="6" s="1"/>
  <c r="L176" i="6" s="1"/>
  <c r="L352" i="6"/>
  <c r="L418" i="6" s="1"/>
  <c r="L419" i="6" s="1"/>
  <c r="L421" i="6" l="1"/>
  <c r="L435" i="6"/>
  <c r="AA27" i="23" s="1"/>
  <c r="L426" i="6"/>
  <c r="AA25" i="23" s="1"/>
  <c r="L427" i="6"/>
  <c r="M350" i="6"/>
  <c r="L204" i="6"/>
  <c r="L207" i="6" s="1"/>
  <c r="L213" i="6" s="1"/>
  <c r="L219" i="6" s="1"/>
  <c r="L178" i="6"/>
  <c r="L336" i="6"/>
  <c r="M177" i="6" l="1"/>
  <c r="L192" i="6"/>
  <c r="L196" i="6" s="1"/>
  <c r="L200" i="6" s="1"/>
  <c r="L221" i="6" s="1"/>
  <c r="M355" i="6"/>
  <c r="M367" i="6" s="1"/>
  <c r="M128" i="6" s="1"/>
  <c r="M420" i="6" s="1"/>
  <c r="M429" i="6" l="1"/>
  <c r="AB26" i="23" s="1"/>
  <c r="M433" i="6"/>
  <c r="M432" i="6"/>
  <c r="N430" i="6"/>
  <c r="M129" i="6"/>
  <c r="AB19" i="23"/>
  <c r="M257" i="6" l="1"/>
  <c r="M261" i="6" s="1"/>
  <c r="M277" i="6" l="1"/>
  <c r="M265" i="6"/>
  <c r="M266" i="6" s="1"/>
  <c r="M269" i="6" l="1"/>
  <c r="M270" i="6" s="1"/>
  <c r="N268" i="6" s="1"/>
  <c r="N264" i="6"/>
  <c r="M272" i="6"/>
  <c r="M273" i="6" s="1"/>
  <c r="M275" i="6" l="1"/>
  <c r="M280" i="6" s="1"/>
  <c r="M281" i="6" s="1"/>
  <c r="M209" i="6" s="1"/>
  <c r="M131" i="6"/>
  <c r="M282" i="6"/>
  <c r="M132" i="6" l="1"/>
  <c r="M157" i="6" s="1"/>
  <c r="M211" i="6"/>
  <c r="M133" i="6" l="1"/>
  <c r="M135" i="6" s="1"/>
  <c r="M138" i="6" l="1"/>
  <c r="M384" i="6"/>
  <c r="M155" i="6"/>
  <c r="M159" i="6" s="1"/>
  <c r="M344" i="6" s="1"/>
  <c r="M385" i="6" l="1"/>
  <c r="M390" i="6"/>
  <c r="M172" i="6" l="1"/>
  <c r="M391" i="6"/>
  <c r="M347" i="6" l="1"/>
  <c r="M348" i="6" s="1"/>
  <c r="M351" i="6" s="1"/>
  <c r="M392" i="6"/>
  <c r="M216" i="6" l="1"/>
  <c r="M217" i="6" s="1"/>
  <c r="M143" i="6" s="1"/>
  <c r="N389" i="6"/>
  <c r="M169" i="6"/>
  <c r="M173" i="6" s="1"/>
  <c r="M176" i="6" s="1"/>
  <c r="M352" i="6"/>
  <c r="M418" i="6" l="1"/>
  <c r="M419" i="6" s="1"/>
  <c r="N350" i="6"/>
  <c r="N355" i="6" s="1"/>
  <c r="N367" i="6" s="1"/>
  <c r="N128" i="6" s="1"/>
  <c r="M204" i="6"/>
  <c r="M207" i="6" s="1"/>
  <c r="M213" i="6" s="1"/>
  <c r="M219" i="6" s="1"/>
  <c r="M336" i="6"/>
  <c r="M178" i="6"/>
  <c r="N177" i="6" l="1"/>
  <c r="M192" i="6"/>
  <c r="M196" i="6" s="1"/>
  <c r="M200" i="6" s="1"/>
  <c r="M221" i="6" s="1"/>
  <c r="N420" i="6"/>
  <c r="N129" i="6"/>
  <c r="N257" i="6" s="1"/>
  <c r="N261" i="6" s="1"/>
  <c r="N277" i="6" s="1"/>
  <c r="AC19" i="23"/>
  <c r="M426" i="6"/>
  <c r="AB25" i="23" s="1"/>
  <c r="M427" i="6"/>
  <c r="M421" i="6"/>
  <c r="M435" i="6" s="1"/>
  <c r="AB27" i="23" s="1"/>
  <c r="N432" i="6" l="1"/>
  <c r="N429" i="6"/>
  <c r="AC26" i="23" s="1"/>
  <c r="N433" i="6"/>
  <c r="O430" i="6"/>
  <c r="N265" i="6"/>
  <c r="N266" i="6" s="1"/>
  <c r="N269" i="6" s="1"/>
  <c r="N270" i="6" s="1"/>
  <c r="O268" i="6" s="1"/>
  <c r="O264" i="6" l="1"/>
  <c r="N272" i="6"/>
  <c r="N273" i="6"/>
  <c r="N275" i="6"/>
  <c r="N280" i="6" s="1"/>
  <c r="N131" i="6" l="1"/>
  <c r="N281" i="6"/>
  <c r="N282" i="6" s="1"/>
  <c r="N132" i="6" l="1"/>
  <c r="N157" i="6" s="1"/>
  <c r="N209" i="6"/>
  <c r="N133" i="6" l="1"/>
  <c r="N135" i="6" s="1"/>
  <c r="N384" i="6" s="1"/>
  <c r="N155" i="6"/>
  <c r="N159" i="6" s="1"/>
  <c r="N138" i="6"/>
  <c r="N211" i="6"/>
  <c r="N344" i="6" l="1"/>
  <c r="N385" i="6"/>
  <c r="N390" i="6"/>
  <c r="N391" i="6" l="1"/>
  <c r="N347" i="6" s="1"/>
  <c r="N348" i="6" s="1"/>
  <c r="N351" i="6" s="1"/>
  <c r="N172" i="6"/>
  <c r="N392" i="6"/>
  <c r="N169" i="6" l="1"/>
  <c r="N173" i="6" s="1"/>
  <c r="N176" i="6" s="1"/>
  <c r="N352" i="6"/>
  <c r="N418" i="6" s="1"/>
  <c r="N419" i="6" s="1"/>
  <c r="O389" i="6"/>
  <c r="N216" i="6"/>
  <c r="N217" i="6" s="1"/>
  <c r="N143" i="6" s="1"/>
  <c r="N421" i="6" l="1"/>
  <c r="N435" i="6" s="1"/>
  <c r="AC27" i="23" s="1"/>
  <c r="N426" i="6"/>
  <c r="AC25" i="23" s="1"/>
  <c r="N427" i="6"/>
  <c r="N204" i="6"/>
  <c r="N207" i="6" s="1"/>
  <c r="N213" i="6" s="1"/>
  <c r="N219" i="6" s="1"/>
  <c r="O350" i="6"/>
  <c r="N336" i="6"/>
  <c r="N178" i="6"/>
  <c r="O355" i="6" l="1"/>
  <c r="O367" i="6" s="1"/>
  <c r="O128" i="6" s="1"/>
  <c r="O420" i="6" s="1"/>
  <c r="N192" i="6"/>
  <c r="N196" i="6" s="1"/>
  <c r="N200" i="6" s="1"/>
  <c r="N221" i="6" s="1"/>
  <c r="O177" i="6"/>
  <c r="O429" i="6" l="1"/>
  <c r="AD26" i="23" s="1"/>
  <c r="O432" i="6"/>
  <c r="O433" i="6"/>
  <c r="AD19" i="23"/>
  <c r="O129" i="6"/>
  <c r="O257" i="6" l="1"/>
  <c r="O261" i="6" s="1"/>
  <c r="O265" i="6" l="1"/>
  <c r="O272" i="6" s="1"/>
  <c r="O277" i="6"/>
  <c r="O266" i="6" l="1"/>
  <c r="O269" i="6" l="1"/>
  <c r="O270" i="6" s="1"/>
  <c r="O273" i="6" s="1"/>
  <c r="O275" i="6" l="1"/>
  <c r="O280" i="6" s="1"/>
  <c r="O131" i="6" l="1"/>
  <c r="O281" i="6"/>
  <c r="O132" i="6" l="1"/>
  <c r="O157" i="6" s="1"/>
  <c r="O209" i="6"/>
  <c r="O211" i="6" s="1"/>
  <c r="O282" i="6"/>
  <c r="O133" i="6" l="1"/>
  <c r="O135" i="6" s="1"/>
  <c r="O155" i="6"/>
  <c r="O159" i="6" s="1"/>
  <c r="O384" i="6"/>
  <c r="O138" i="6"/>
  <c r="O390" i="6" l="1"/>
  <c r="O385" i="6"/>
  <c r="O344" i="6"/>
  <c r="O172" i="6" l="1"/>
  <c r="O391" i="6"/>
  <c r="O347" i="6" s="1"/>
  <c r="O348" i="6" s="1"/>
  <c r="O351" i="6" s="1"/>
  <c r="O392" i="6" l="1"/>
  <c r="O216" i="6" s="1"/>
  <c r="O217" i="6" s="1"/>
  <c r="O143" i="6" s="1"/>
  <c r="O169" i="6"/>
  <c r="O173" i="6" s="1"/>
  <c r="O176" i="6" s="1"/>
  <c r="O352" i="6"/>
  <c r="O204" i="6" l="1"/>
  <c r="O207" i="6" s="1"/>
  <c r="O213" i="6" s="1"/>
  <c r="O219" i="6" s="1"/>
  <c r="O418" i="6"/>
  <c r="O419" i="6" s="1"/>
  <c r="O336" i="6"/>
  <c r="O178" i="6"/>
  <c r="O192" i="6" s="1"/>
  <c r="O196" i="6" s="1"/>
  <c r="O200" i="6" s="1"/>
  <c r="O221" i="6" l="1"/>
  <c r="O421" i="6"/>
  <c r="O435" i="6"/>
  <c r="AD27" i="23" s="1"/>
  <c r="O426" i="6"/>
  <c r="AD25" i="23" s="1"/>
  <c r="O427" i="6"/>
</calcChain>
</file>

<file path=xl/comments1.xml><?xml version="1.0" encoding="utf-8"?>
<comments xmlns="http://schemas.openxmlformats.org/spreadsheetml/2006/main">
  <authors>
    <author>Ian Schnoor</author>
  </authors>
  <commentList>
    <comment ref="D61" authorId="0" shapeId="0">
      <text>
        <r>
          <rPr>
            <sz val="9"/>
            <color indexed="81"/>
            <rFont val="Tahoma"/>
            <family val="2"/>
          </rPr>
          <t xml:space="preserve">If entering adjustments, replace the current label with the specific name of the adjustment (ie. Headcount reductions)
</t>
        </r>
      </text>
    </comment>
    <comment ref="D62" authorId="0" shapeId="0">
      <text>
        <r>
          <rPr>
            <sz val="9"/>
            <color indexed="81"/>
            <rFont val="Tahoma"/>
            <family val="2"/>
          </rPr>
          <t xml:space="preserve">If entering adjustments, replace the current label with the specific name of the adjustment (ie. Headcount reductions)
</t>
        </r>
      </text>
    </comment>
    <comment ref="D63" authorId="0" shapeId="0">
      <text>
        <r>
          <rPr>
            <sz val="9"/>
            <color indexed="81"/>
            <rFont val="Tahoma"/>
            <family val="2"/>
          </rPr>
          <t xml:space="preserve">If entering adjustments, replace the current label with the specific name of the adjustment (ie. Headcount reductions)
</t>
        </r>
      </text>
    </comment>
  </commentList>
</comments>
</file>

<file path=xl/sharedStrings.xml><?xml version="1.0" encoding="utf-8"?>
<sst xmlns="http://schemas.openxmlformats.org/spreadsheetml/2006/main" count="570" uniqueCount="288">
  <si>
    <t>Pricing Case</t>
  </si>
  <si>
    <t>Terminal Year</t>
  </si>
  <si>
    <t>Exchange Rate</t>
  </si>
  <si>
    <t>Total</t>
  </si>
  <si>
    <t>Strategic</t>
  </si>
  <si>
    <t>Projected</t>
  </si>
  <si>
    <t>Net Revenue</t>
  </si>
  <si>
    <t>Cost of Sales</t>
  </si>
  <si>
    <t>EBITDA</t>
  </si>
  <si>
    <t>Depreciation &amp; Amortization</t>
  </si>
  <si>
    <t>EBIT</t>
  </si>
  <si>
    <t>Net Income</t>
  </si>
  <si>
    <t>Capacity</t>
  </si>
  <si>
    <t>Operating Activities</t>
  </si>
  <si>
    <t>Other</t>
  </si>
  <si>
    <t>Operating Cash Flow</t>
  </si>
  <si>
    <t>ASSETS</t>
  </si>
  <si>
    <t>Cash</t>
  </si>
  <si>
    <t>Accounts Receivable</t>
  </si>
  <si>
    <t>Inventory</t>
  </si>
  <si>
    <t>Total Current Assets</t>
  </si>
  <si>
    <t>Net PP&amp;E</t>
  </si>
  <si>
    <t>Total Assets</t>
  </si>
  <si>
    <t>LIABILITIES AND EQUITY</t>
  </si>
  <si>
    <t>Accounts Payable</t>
  </si>
  <si>
    <t>Total Current Liabilities</t>
  </si>
  <si>
    <t>Total Long Term Liabilities</t>
  </si>
  <si>
    <t>Total Liabilities</t>
  </si>
  <si>
    <t>Shareholder's Equity</t>
  </si>
  <si>
    <t>Total Liabilities and Equity</t>
  </si>
  <si>
    <t>Check</t>
  </si>
  <si>
    <t>Days In</t>
  </si>
  <si>
    <t>Inventories</t>
  </si>
  <si>
    <t>Account Balances</t>
  </si>
  <si>
    <t>Net Working Capital</t>
  </si>
  <si>
    <t>A</t>
  </si>
  <si>
    <t>B</t>
  </si>
  <si>
    <t>Chemicals</t>
  </si>
  <si>
    <t>(US$ / C$)</t>
  </si>
  <si>
    <t>Variable Costs</t>
  </si>
  <si>
    <t>Total Variable Costs</t>
  </si>
  <si>
    <t>Fixed Costs</t>
  </si>
  <si>
    <t>S,G &amp; A</t>
  </si>
  <si>
    <t>Income Statement</t>
  </si>
  <si>
    <t>Margins</t>
  </si>
  <si>
    <t>EBITDA Margin</t>
  </si>
  <si>
    <t>EBIT Margin</t>
  </si>
  <si>
    <t>Depreciation to Existing Assets</t>
  </si>
  <si>
    <t>Total Depreciation</t>
  </si>
  <si>
    <t>Operating Days</t>
  </si>
  <si>
    <t>(Days)</t>
  </si>
  <si>
    <t>Revenue</t>
  </si>
  <si>
    <t>Total Costs</t>
  </si>
  <si>
    <t>Depreciation</t>
  </si>
  <si>
    <t>Maintenance</t>
  </si>
  <si>
    <t>Environmental</t>
  </si>
  <si>
    <t>Cash Flow Statement</t>
  </si>
  <si>
    <t>Costs of Production</t>
  </si>
  <si>
    <t>Income Tax Schedule</t>
  </si>
  <si>
    <t>Working Capital Schedule</t>
  </si>
  <si>
    <t>Total Fixed Costs</t>
  </si>
  <si>
    <t>Freight &amp; Warehousing</t>
  </si>
  <si>
    <t>Energy</t>
  </si>
  <si>
    <t>Supplies</t>
  </si>
  <si>
    <t>Salaries &amp; Benefits</t>
  </si>
  <si>
    <t>CAPEX</t>
  </si>
  <si>
    <t>Change in the Cash Position</t>
  </si>
  <si>
    <t>Beginning Cash</t>
  </si>
  <si>
    <t>Ending Cash</t>
  </si>
  <si>
    <t>Capex used in the model is maintenance Capex only</t>
  </si>
  <si>
    <t>Base Case</t>
  </si>
  <si>
    <t>Best Case</t>
  </si>
  <si>
    <t>Worst Case</t>
  </si>
  <si>
    <t>(days)</t>
  </si>
  <si>
    <t>Raw Material</t>
  </si>
  <si>
    <t>Debt and Interest Schedule</t>
  </si>
  <si>
    <t>Net Sales Price</t>
  </si>
  <si>
    <t>Amount Outstanding - Beginning</t>
  </si>
  <si>
    <t>Additions / (Repayments)</t>
  </si>
  <si>
    <t>Amount Outstanding - Ending</t>
  </si>
  <si>
    <t>Interest Rate</t>
  </si>
  <si>
    <t>Annual Interest Expense</t>
  </si>
  <si>
    <t>Annual Interest Income</t>
  </si>
  <si>
    <t>Change in Cash</t>
  </si>
  <si>
    <t>Financing Activities</t>
  </si>
  <si>
    <t>Interest Expense</t>
  </si>
  <si>
    <t>Net Interest Expense</t>
  </si>
  <si>
    <t>EBT</t>
  </si>
  <si>
    <t>(US$/unit)</t>
  </si>
  <si>
    <t>(CDN$/unit)</t>
  </si>
  <si>
    <t>Units per day</t>
  </si>
  <si>
    <t>(Units)</t>
  </si>
  <si>
    <t>(000's units)</t>
  </si>
  <si>
    <t>COSTS PER UNIT</t>
  </si>
  <si>
    <t>FX Rate - US$ / C$</t>
  </si>
  <si>
    <t>Avg. of Last 5 Years</t>
  </si>
  <si>
    <t>The product pricing cases used in the model are as follows:</t>
  </si>
  <si>
    <t>-</t>
  </si>
  <si>
    <t>- Operating Days per Year:</t>
  </si>
  <si>
    <t>- Values are calculated assuming a share purchase</t>
  </si>
  <si>
    <t>- Tax rate assumed in the model:</t>
  </si>
  <si>
    <t>GENERAL</t>
  </si>
  <si>
    <t>PRODUCT PRICING</t>
  </si>
  <si>
    <t>OPERATIONS</t>
  </si>
  <si>
    <t>TAXES</t>
  </si>
  <si>
    <t>COSTS</t>
  </si>
  <si>
    <t>Cost Item</t>
  </si>
  <si>
    <t>Raw Materials</t>
  </si>
  <si>
    <t>Increases</t>
  </si>
  <si>
    <t>Inflation on a unit basis</t>
  </si>
  <si>
    <t>Salaries</t>
  </si>
  <si>
    <t>SG&amp;A</t>
  </si>
  <si>
    <t>Inflation on a total $ basis</t>
  </si>
  <si>
    <t>DEPRECIATION</t>
  </si>
  <si>
    <t>Straight Line</t>
  </si>
  <si>
    <t>WORKING CAPITAL DAYS</t>
  </si>
  <si>
    <t>CAPITAL EXPENDITURES (CAPEX)</t>
  </si>
  <si>
    <t xml:space="preserve">If productivity enhancing (strategic) capex is added, corresponding changes to the model's capacity and/or cost structure </t>
  </si>
  <si>
    <t>will need to be incorporated</t>
  </si>
  <si>
    <t>ECONOMIC SCENARIOS</t>
  </si>
  <si>
    <t>- Depreciation Methodology Used:</t>
  </si>
  <si>
    <t>Current Income Taxes</t>
  </si>
  <si>
    <t>Total Income Taxes</t>
  </si>
  <si>
    <t>Tax Rate</t>
  </si>
  <si>
    <t>Taxes as Appearing on Income Statement</t>
  </si>
  <si>
    <t>Cost Inflation</t>
  </si>
  <si>
    <t>SCENARIO SWITCH:</t>
  </si>
  <si>
    <t>Revenue Schedule</t>
  </si>
  <si>
    <t>Three scenarios have been used for Inflation, FX and Product Pricing</t>
  </si>
  <si>
    <t>Credit Statistics and Covenants</t>
  </si>
  <si>
    <t>Credit Statistic Values</t>
  </si>
  <si>
    <t>Capital Expenditures</t>
  </si>
  <si>
    <t>Total Debt</t>
  </si>
  <si>
    <t>Net Debt</t>
  </si>
  <si>
    <t>Consolidated Ratios</t>
  </si>
  <si>
    <t>Net Debt / EBITDA</t>
  </si>
  <si>
    <t>Covenant</t>
  </si>
  <si>
    <t>EBITDA Cushion</t>
  </si>
  <si>
    <t>Interest Coverage (EBITDA / Interest)</t>
  </si>
  <si>
    <t>Net Debt / Capitalization</t>
  </si>
  <si>
    <t>INTEREST RATES AND DEBT COVENANTS</t>
  </si>
  <si>
    <t>Debt Covenants</t>
  </si>
  <si>
    <t xml:space="preserve">Interest Coverage (EBITDA / Interest) </t>
  </si>
  <si>
    <t>Add Back GAAP Depreciation</t>
  </si>
  <si>
    <t xml:space="preserve">Earnings Before Taxes (as is on I/S)   </t>
  </si>
  <si>
    <t>Plus: New Capex</t>
  </si>
  <si>
    <t>1/2 of New Capex</t>
  </si>
  <si>
    <t>C</t>
  </si>
  <si>
    <t>D</t>
  </si>
  <si>
    <t>E</t>
  </si>
  <si>
    <t>Investing Activities</t>
  </si>
  <si>
    <t>Investing Cash Flow</t>
  </si>
  <si>
    <t>Financing Cash Flow</t>
  </si>
  <si>
    <t>Balance Sheet</t>
  </si>
  <si>
    <t>Days per Year</t>
  </si>
  <si>
    <t>Inputs and Assumptions</t>
  </si>
  <si>
    <t>- Factory Capacity (Units per day):</t>
  </si>
  <si>
    <t>SALES SCENARIOS</t>
  </si>
  <si>
    <t>Sales Volume Growth</t>
  </si>
  <si>
    <t>(%)</t>
  </si>
  <si>
    <t>Sales Volume</t>
  </si>
  <si>
    <t>Annual Sales Volume</t>
  </si>
  <si>
    <t>Earnings per Share</t>
  </si>
  <si>
    <t>(MM's)</t>
  </si>
  <si>
    <t>Change in Working Capital</t>
  </si>
  <si>
    <t>Shareholders' Equity Schedule</t>
  </si>
  <si>
    <t>Common Shares</t>
  </si>
  <si>
    <t>Dividend Payout Rate</t>
  </si>
  <si>
    <t>Common Dividend</t>
  </si>
  <si>
    <t>Retained Earnings</t>
  </si>
  <si>
    <t>EQUITY</t>
  </si>
  <si>
    <t>Common Dividend Payout Rate</t>
  </si>
  <si>
    <t>CHANGE IN DEBT AND EQUITY</t>
  </si>
  <si>
    <t>Common Stock Issuance / (Buy-back)</t>
  </si>
  <si>
    <t>Common Shares Issuance/ (Buy-Back)</t>
  </si>
  <si>
    <t>Common Dividends</t>
  </si>
  <si>
    <t>Shares Outstanding</t>
  </si>
  <si>
    <t>Cost of Equity</t>
  </si>
  <si>
    <t>Average Stock Price</t>
  </si>
  <si>
    <t>New Issuance / (Buy-Back)</t>
  </si>
  <si>
    <t>Fully Diluted Shares O/S (MM) - Beginning</t>
  </si>
  <si>
    <t>Fully Diluted Shares O/S (MM) - Ending</t>
  </si>
  <si>
    <t>Stock Option Grants</t>
  </si>
  <si>
    <t>Stock Option Grants (MM)</t>
  </si>
  <si>
    <t>Return on Equity</t>
  </si>
  <si>
    <t>Changes in working capital</t>
  </si>
  <si>
    <t>Dividends</t>
  </si>
  <si>
    <t>FINANCING COMPONENT</t>
  </si>
  <si>
    <t>and sales volume growth</t>
  </si>
  <si>
    <t>Insurance</t>
  </si>
  <si>
    <t>Adjustments</t>
  </si>
  <si>
    <t>Adjustment 1</t>
  </si>
  <si>
    <t>Adjustment 2</t>
  </si>
  <si>
    <t>Adjustment 3</t>
  </si>
  <si>
    <t>EARNINGS ADJUSTMENTS (PRE-EBITDA)</t>
  </si>
  <si>
    <t>Revolver</t>
  </si>
  <si>
    <t>Senior Secured Term Debt</t>
  </si>
  <si>
    <t>Revolver Issuance / (Repayment)</t>
  </si>
  <si>
    <t>Term Debt Issuance / (Repayment)</t>
  </si>
  <si>
    <t>Interest rate earned on cash balances:</t>
  </si>
  <si>
    <t>Interest rate on the Bank Revolver:</t>
  </si>
  <si>
    <t>Interest rate on the Senior Secured Term Debt:</t>
  </si>
  <si>
    <t>Sr. Term Debt Issuance / (Repayment)</t>
  </si>
  <si>
    <t>Bank Debt - Revolver</t>
  </si>
  <si>
    <t>Total Book Capitalization</t>
  </si>
  <si>
    <t>Depreciation Schedule</t>
  </si>
  <si>
    <t>Financial Model</t>
  </si>
  <si>
    <t>Average Diluted Shares O/S</t>
  </si>
  <si>
    <t>FCF After Mandatory Debt Repayment and Dividend</t>
  </si>
  <si>
    <t>Mandatory Debt Repayments</t>
  </si>
  <si>
    <t>Revolver Outstanding - Beginning</t>
  </si>
  <si>
    <t>Revolver Outstanding - Ending</t>
  </si>
  <si>
    <t>- Blended Tax Dep'n Rate assumed in the model:</t>
  </si>
  <si>
    <t>- Opening NOL balance ($MM):</t>
  </si>
  <si>
    <t>- Opening Tax Basis balance ($MM):</t>
  </si>
  <si>
    <t>($ millions)</t>
  </si>
  <si>
    <t>($ MM)</t>
  </si>
  <si>
    <t>($/unit)</t>
  </si>
  <si>
    <t>($ / share)</t>
  </si>
  <si>
    <t>($ Millions)</t>
  </si>
  <si>
    <t>Deduct Tax Depreciation</t>
  </si>
  <si>
    <t>Earnings Before NOL after Tax Dep'n</t>
  </si>
  <si>
    <t>Net Operating Loss Schedule</t>
  </si>
  <si>
    <t>Existing NOL (Initial Balance)</t>
  </si>
  <si>
    <t>Existing NOL Used</t>
  </si>
  <si>
    <t>Earnings after use of Existing NOL</t>
  </si>
  <si>
    <t>Newly Created NOL - Beginning</t>
  </si>
  <si>
    <t>Newly Created NOL Used (Added)</t>
  </si>
  <si>
    <t>Newly Created NOL - Ending</t>
  </si>
  <si>
    <t>Remaining Existing NOL</t>
  </si>
  <si>
    <t>Total NOL Available</t>
  </si>
  <si>
    <t>Tax Depreciation Schedule</t>
  </si>
  <si>
    <t>Blended Tax Dep'n Rate</t>
  </si>
  <si>
    <t xml:space="preserve">Tax Basis Beginning </t>
  </si>
  <si>
    <t>Tax Basis After New Capex (1/2 Year)</t>
  </si>
  <si>
    <t>Less: Tax Dep'n Available and Used</t>
  </si>
  <si>
    <t>Tax Basis Ending (C + D - E)</t>
  </si>
  <si>
    <t>Research Forecast</t>
  </si>
  <si>
    <t>Sales Volume Distribution</t>
  </si>
  <si>
    <t>Sales Volume Distribution - % to U.S.</t>
  </si>
  <si>
    <t>Economic and Sales Scenarios</t>
  </si>
  <si>
    <t>Cost Inflation (for Freight)</t>
  </si>
  <si>
    <t>Pricing to the U.S.</t>
  </si>
  <si>
    <t>Pricing to Canada</t>
  </si>
  <si>
    <t>Gross Sales Price</t>
  </si>
  <si>
    <t>Sales Volume to U.S.</t>
  </si>
  <si>
    <t>Sales Volume to Canada</t>
  </si>
  <si>
    <t>Total Sales Volume</t>
  </si>
  <si>
    <t>Gross Sales Price in the U.S. - US$/Unit</t>
  </si>
  <si>
    <t>Gross Sales Price in Canada - C$/Unit</t>
  </si>
  <si>
    <t>Gross Revenue - U.S.</t>
  </si>
  <si>
    <t>Gross Revenue - Canada</t>
  </si>
  <si>
    <t>Operating Labor</t>
  </si>
  <si>
    <t>MM</t>
  </si>
  <si>
    <t>per Unit</t>
  </si>
  <si>
    <t>Average Fully Diluted Shares O/S</t>
  </si>
  <si>
    <t>First year of forecast in financial model:</t>
  </si>
  <si>
    <t>Interest Rates</t>
  </si>
  <si>
    <t>- Years remaining for depreciation of existing assets:</t>
  </si>
  <si>
    <t>- Years used for depreciation of new assets:</t>
  </si>
  <si>
    <t>COSTS IN $MM</t>
  </si>
  <si>
    <t>Years Remaining on Existing Assets:</t>
  </si>
  <si>
    <t>Depreciation Years on New Assets:</t>
  </si>
  <si>
    <t>EBT (after Tax Dep'n and NOLs)</t>
  </si>
  <si>
    <t>Total Income Tax (Same as Accounting Tax Above)</t>
  </si>
  <si>
    <t>Income Statement Items</t>
  </si>
  <si>
    <t>Interest Coverage ((EBITDA - CAPEX) / Int.)</t>
  </si>
  <si>
    <t>Interest Coverage ((EBITDA-CAPEX) / Int)</t>
  </si>
  <si>
    <t>Current Stock Price</t>
  </si>
  <si>
    <t>Summary Outputs and Credit Statistics</t>
  </si>
  <si>
    <t>SUMMARY VALUES - BASE CASE</t>
  </si>
  <si>
    <t>(C$MM)</t>
  </si>
  <si>
    <t xml:space="preserve">   Growth</t>
  </si>
  <si>
    <t xml:space="preserve">   Margin</t>
  </si>
  <si>
    <t>Credit Statistics</t>
  </si>
  <si>
    <t>SUMMARY VALUES - WORST CASE</t>
  </si>
  <si>
    <t>Net Debt / EBITDA Covenant</t>
  </si>
  <si>
    <t>EBITDA / Interest Covenant</t>
  </si>
  <si>
    <t>Net Debt / Capitalization Covenant</t>
  </si>
  <si>
    <t>Labor</t>
  </si>
  <si>
    <t>Deferred Income Taxes</t>
  </si>
  <si>
    <t>Deferred Taxes</t>
  </si>
  <si>
    <t>Deferred Tax</t>
  </si>
  <si>
    <t>f</t>
  </si>
  <si>
    <t>Precision Moldings</t>
  </si>
  <si>
    <t>Your Company Name</t>
  </si>
  <si>
    <t>Prepared By: Yours Truly</t>
  </si>
  <si>
    <t>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</si>
</sst>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2">
    <numFmt numFmtId="164" formatCode="&quot;$&quot;#,##0_);\(&quot;$&quot;#,##0\)"/>
    <numFmt numFmtId="165" formatCode="&quot;$&quot;#,##0_);[Red]\(&quot;$&quot;#,##0\)"/>
    <numFmt numFmtId="166" formatCode="&quot;$&quot;#,##0.00_);\(&quot;$&quot;#,##0.00\)"/>
    <numFmt numFmtId="167" formatCode="&quot;$&quot;#,##0.00_);[Red]\(&quot;$&quot;#,##0.00\)"/>
    <numFmt numFmtId="168" formatCode="_(* #,##0.00_);_(* \(#,##0.00\);_(* &quot;-&quot;??_);_(@_)"/>
    <numFmt numFmtId="169" formatCode="_(* #,##0.0_);_(* \(#,##0.0\);_(* &quot;-&quot;??_);_(@_)"/>
    <numFmt numFmtId="170" formatCode="_(* #,##0_);_(* \(#,##0\);_(* &quot;-&quot;??_);_(@_)"/>
    <numFmt numFmtId="171" formatCode="0.0%"/>
    <numFmt numFmtId="172" formatCode="0.0000"/>
    <numFmt numFmtId="173" formatCode="#,##0.0_);\(#,##0.0\)"/>
    <numFmt numFmtId="174" formatCode="&quot;$&quot;#,##0.0_);\(&quot;$&quot;#,##0.0\)"/>
    <numFmt numFmtId="175" formatCode="#,##0.000_);\(#,##0.000\)"/>
    <numFmt numFmtId="176" formatCode="0.0_);\(0.0\)"/>
    <numFmt numFmtId="177" formatCode="0.00_);\(0.00\)"/>
    <numFmt numFmtId="178" formatCode="0.000_);\(0.000\)"/>
    <numFmt numFmtId="179" formatCode="0\A"/>
    <numFmt numFmtId="180" formatCode="&quot;- EBITDA margin of &quot;0.0%"/>
    <numFmt numFmtId="181" formatCode="&quot;- Opening UCC pool of &quot;&quot;$&quot;#,###.0&quot; million as of January 1, 1999&quot;"/>
    <numFmt numFmtId="182" formatCode="0%;\(0%\)"/>
    <numFmt numFmtId="183" formatCode="0.00\ "/>
    <numFmt numFmtId="184" formatCode="_-* #,##0_-;\-* #,##0_-;_-* &quot;-&quot;??_-;_-@_-"/>
    <numFmt numFmtId="185" formatCode="0_);\(0\)"/>
    <numFmt numFmtId="186" formatCode="0.0%\ ;\(0.0%\)"/>
    <numFmt numFmtId="187" formatCode="mmmm\ d\,\ yyyy"/>
    <numFmt numFmtId="188" formatCode="\+0%;\(0%\)"/>
    <numFmt numFmtId="189" formatCode="&quot;$&quot;#,##0.0"/>
    <numFmt numFmtId="190" formatCode="0\ &quot;years&quot;"/>
    <numFmt numFmtId="191" formatCode="#,##0.0000_);\(#,##0.0000\)"/>
    <numFmt numFmtId="192" formatCode="&quot;$&quot;#,##0.000_);\(&quot;$&quot;#,##0.000\)"/>
    <numFmt numFmtId="193" formatCode="0\F"/>
    <numFmt numFmtId="194" formatCode="\&lt;\ 0.0\ \x\ "/>
    <numFmt numFmtId="195" formatCode="\&gt;\ 0.0\ \x\ "/>
    <numFmt numFmtId="196" formatCode="\&lt;\ 0.0%\ ;\(0.0%\)"/>
    <numFmt numFmtId="197" formatCode="0.0\ \x\ "/>
    <numFmt numFmtId="198" formatCode="&quot;$&quot;#,##0.0000_);\(&quot;$&quot;#,##0.0000\)"/>
    <numFmt numFmtId="199" formatCode="&quot;$&quot;#,##0.000000_);\(&quot;$&quot;#,##0.000000\)"/>
    <numFmt numFmtId="200" formatCode="0.0%;\(0.0%\)"/>
    <numFmt numFmtId="201" formatCode="0.00\ \x\ "/>
    <numFmt numFmtId="205" formatCode="#,##0\ &quot;years&quot;"/>
    <numFmt numFmtId="206" formatCode="\&lt;\ #.#.\ \x"/>
    <numFmt numFmtId="207" formatCode="\&gt;\ #.#.\ \x"/>
    <numFmt numFmtId="208" formatCode="\&lt;\ ##.0%"/>
  </numFmts>
  <fonts count="68">
    <font>
      <sz val="10"/>
      <name val="Arial"/>
      <family val="2"/>
    </font>
    <font>
      <sz val="10"/>
      <name val="Book Antiqua"/>
      <family val="1"/>
    </font>
    <font>
      <sz val="10"/>
      <name val="Aldine401 BT"/>
    </font>
    <font>
      <sz val="11"/>
      <color indexed="12"/>
      <name val="Book Antiqua"/>
      <family val="1"/>
    </font>
    <font>
      <sz val="8"/>
      <name val="Arial"/>
      <family val="2"/>
    </font>
    <font>
      <sz val="10"/>
      <name val="Times New Roman"/>
      <family val="1"/>
    </font>
    <font>
      <sz val="9"/>
      <color indexed="81"/>
      <name val="Tahoma"/>
      <family val="2"/>
    </font>
    <font>
      <sz val="10"/>
      <name val="Calibri"/>
      <family val="2"/>
      <scheme val="minor"/>
    </font>
    <font>
      <sz val="14"/>
      <name val="Calibri"/>
      <family val="2"/>
      <scheme val="minor"/>
    </font>
    <font>
      <sz val="20"/>
      <name val="Calibri"/>
      <family val="2"/>
      <scheme val="minor"/>
    </font>
    <font>
      <b/>
      <sz val="30"/>
      <color indexed="12"/>
      <name val="Calibri"/>
      <family val="2"/>
      <scheme val="minor"/>
    </font>
    <font>
      <sz val="30"/>
      <name val="Calibri"/>
      <family val="2"/>
      <scheme val="minor"/>
    </font>
    <font>
      <sz val="24"/>
      <name val="Calibri"/>
      <family val="2"/>
      <scheme val="minor"/>
    </font>
    <font>
      <b/>
      <sz val="18"/>
      <name val="Calibri"/>
      <family val="2"/>
      <scheme val="minor"/>
    </font>
    <font>
      <b/>
      <sz val="18"/>
      <color indexed="12"/>
      <name val="Calibri"/>
      <family val="2"/>
      <scheme val="minor"/>
    </font>
    <font>
      <b/>
      <sz val="20"/>
      <name val="Calibri"/>
      <family val="2"/>
      <scheme val="minor"/>
    </font>
    <font>
      <b/>
      <sz val="14"/>
      <name val="Calibri"/>
      <family val="2"/>
      <scheme val="minor"/>
    </font>
    <font>
      <b/>
      <i/>
      <sz val="14"/>
      <name val="Calibri"/>
      <family val="2"/>
      <scheme val="minor"/>
    </font>
    <font>
      <sz val="10"/>
      <color indexed="12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sz val="9"/>
      <name val="Calibri"/>
      <family val="2"/>
      <scheme val="minor"/>
    </font>
    <font>
      <b/>
      <sz val="14"/>
      <color indexed="8"/>
      <name val="Calibri"/>
      <family val="2"/>
      <scheme val="minor"/>
    </font>
    <font>
      <b/>
      <u/>
      <sz val="10"/>
      <name val="Calibri"/>
      <family val="2"/>
      <scheme val="minor"/>
    </font>
    <font>
      <u/>
      <sz val="10"/>
      <name val="Calibri"/>
      <family val="2"/>
      <scheme val="minor"/>
    </font>
    <font>
      <sz val="12"/>
      <color indexed="9"/>
      <name val="Calibri"/>
      <family val="2"/>
      <scheme val="minor"/>
    </font>
    <font>
      <sz val="10"/>
      <color indexed="10"/>
      <name val="Calibri"/>
      <family val="2"/>
      <scheme val="minor"/>
    </font>
    <font>
      <b/>
      <sz val="16"/>
      <name val="Calibri"/>
      <family val="2"/>
      <scheme val="minor"/>
    </font>
    <font>
      <sz val="16"/>
      <name val="Calibri"/>
      <family val="2"/>
      <scheme val="minor"/>
    </font>
    <font>
      <b/>
      <sz val="10"/>
      <color indexed="12"/>
      <name val="Calibri"/>
      <family val="2"/>
      <scheme val="minor"/>
    </font>
    <font>
      <b/>
      <i/>
      <sz val="12"/>
      <name val="Calibri"/>
      <family val="2"/>
      <scheme val="minor"/>
    </font>
    <font>
      <b/>
      <sz val="11"/>
      <name val="Calibri"/>
      <family val="2"/>
      <scheme val="minor"/>
    </font>
    <font>
      <sz val="9"/>
      <color indexed="12"/>
      <name val="Calibri"/>
      <family val="2"/>
      <scheme val="minor"/>
    </font>
    <font>
      <sz val="9"/>
      <color indexed="8"/>
      <name val="Calibri"/>
      <family val="2"/>
      <scheme val="minor"/>
    </font>
    <font>
      <b/>
      <sz val="10"/>
      <color indexed="8"/>
      <name val="Calibri"/>
      <family val="2"/>
      <scheme val="minor"/>
    </font>
    <font>
      <b/>
      <sz val="8"/>
      <name val="Calibri"/>
      <family val="2"/>
      <scheme val="minor"/>
    </font>
    <font>
      <b/>
      <i/>
      <sz val="14"/>
      <color indexed="10"/>
      <name val="Calibri"/>
      <family val="2"/>
      <scheme val="minor"/>
    </font>
    <font>
      <b/>
      <i/>
      <sz val="9"/>
      <color indexed="10"/>
      <name val="Calibri"/>
      <family val="2"/>
      <scheme val="minor"/>
    </font>
    <font>
      <b/>
      <i/>
      <sz val="10"/>
      <name val="Calibri"/>
      <family val="2"/>
      <scheme val="minor"/>
    </font>
    <font>
      <sz val="10"/>
      <color indexed="9"/>
      <name val="Calibri"/>
      <family val="2"/>
      <scheme val="minor"/>
    </font>
    <font>
      <sz val="8"/>
      <name val="Calibri"/>
      <family val="2"/>
      <scheme val="minor"/>
    </font>
    <font>
      <sz val="10"/>
      <color indexed="61"/>
      <name val="Calibri"/>
      <family val="2"/>
      <scheme val="minor"/>
    </font>
    <font>
      <b/>
      <sz val="10"/>
      <color indexed="9"/>
      <name val="Calibri"/>
      <family val="2"/>
      <scheme val="minor"/>
    </font>
    <font>
      <i/>
      <sz val="10"/>
      <color indexed="12"/>
      <name val="Calibri"/>
      <family val="2"/>
      <scheme val="minor"/>
    </font>
    <font>
      <i/>
      <sz val="10"/>
      <color indexed="61"/>
      <name val="Calibri"/>
      <family val="2"/>
      <scheme val="minor"/>
    </font>
    <font>
      <b/>
      <sz val="9"/>
      <name val="Calibri"/>
      <family val="2"/>
      <scheme val="minor"/>
    </font>
    <font>
      <vertAlign val="superscript"/>
      <sz val="7"/>
      <name val="Calibri"/>
      <family val="2"/>
      <scheme val="minor"/>
    </font>
    <font>
      <b/>
      <sz val="10"/>
      <color indexed="10"/>
      <name val="Calibri"/>
      <family val="2"/>
      <scheme val="minor"/>
    </font>
    <font>
      <sz val="8"/>
      <color indexed="12"/>
      <name val="Calibri"/>
      <family val="2"/>
      <scheme val="minor"/>
    </font>
    <font>
      <b/>
      <sz val="18"/>
      <color indexed="8"/>
      <name val="Calibri"/>
      <family val="2"/>
      <scheme val="minor"/>
    </font>
    <font>
      <b/>
      <sz val="16"/>
      <color indexed="8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u/>
      <sz val="9"/>
      <name val="Calibri"/>
      <family val="2"/>
      <scheme val="minor"/>
    </font>
    <font>
      <sz val="10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b/>
      <i/>
      <sz val="10"/>
      <color indexed="8"/>
      <name val="Calibri"/>
      <family val="2"/>
      <scheme val="minor"/>
    </font>
    <font>
      <b/>
      <sz val="10"/>
      <color indexed="61"/>
      <name val="Calibri"/>
      <family val="2"/>
      <scheme val="minor"/>
    </font>
    <font>
      <b/>
      <sz val="9"/>
      <color indexed="8"/>
      <name val="Calibri"/>
      <family val="2"/>
      <scheme val="minor"/>
    </font>
    <font>
      <sz val="10"/>
      <name val="Arial"/>
      <family val="2"/>
    </font>
    <font>
      <b/>
      <sz val="20"/>
      <color indexed="12"/>
      <name val="Calibri"/>
      <family val="2"/>
      <scheme val="minor"/>
    </font>
    <font>
      <i/>
      <sz val="9"/>
      <name val="Calibri"/>
      <family val="2"/>
      <scheme val="minor"/>
    </font>
    <font>
      <i/>
      <sz val="9"/>
      <color indexed="12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0000FF"/>
      <name val="Calibri"/>
      <family val="2"/>
      <scheme val="minor"/>
    </font>
    <font>
      <sz val="10"/>
      <color rgb="FF0000FF"/>
      <name val="Calibri"/>
      <family val="2"/>
      <scheme val="minor"/>
    </font>
    <font>
      <i/>
      <sz val="10"/>
      <color rgb="FF0000FF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CC99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13">
    <xf numFmtId="0" fontId="0" fillId="0" borderId="0"/>
    <xf numFmtId="0" fontId="1" fillId="0" borderId="0" applyNumberFormat="0" applyFont="0" applyFill="0" applyBorder="0" applyProtection="0">
      <alignment horizontal="centerContinuous"/>
    </xf>
    <xf numFmtId="0" fontId="1" fillId="0" borderId="1" applyNumberFormat="0" applyFont="0" applyFill="0" applyAlignment="0" applyProtection="0"/>
    <xf numFmtId="0" fontId="1" fillId="0" borderId="0" applyNumberFormat="0" applyFont="0" applyFill="0" applyBorder="0" applyProtection="0">
      <alignment horizontal="center"/>
    </xf>
    <xf numFmtId="168" fontId="2" fillId="0" borderId="0" applyFont="0" applyFill="0" applyBorder="0" applyAlignment="0" applyProtection="0"/>
    <xf numFmtId="167" fontId="3" fillId="0" borderId="2">
      <protection locked="0"/>
    </xf>
    <xf numFmtId="0" fontId="1" fillId="0" borderId="3" applyNumberFormat="0" applyFont="0" applyFill="0" applyAlignment="0" applyProtection="0"/>
    <xf numFmtId="0" fontId="5" fillId="0" borderId="0"/>
    <xf numFmtId="0" fontId="4" fillId="0" borderId="0" applyNumberFormat="0" applyFill="0" applyBorder="0" applyAlignment="0" applyProtection="0"/>
    <xf numFmtId="184" fontId="2" fillId="0" borderId="0" applyNumberFormat="0" applyFill="0" applyBorder="0" applyAlignment="0" applyProtection="0"/>
    <xf numFmtId="0" fontId="1" fillId="0" borderId="4" applyNumberFormat="0" applyFont="0" applyFill="0" applyAlignment="0" applyProtection="0"/>
    <xf numFmtId="171" fontId="5" fillId="0" borderId="0"/>
    <xf numFmtId="0" fontId="60" fillId="0" borderId="0"/>
  </cellStyleXfs>
  <cellXfs count="700">
    <xf numFmtId="0" fontId="0" fillId="0" borderId="0" xfId="0"/>
    <xf numFmtId="0" fontId="8" fillId="0" borderId="6" xfId="0" applyFont="1" applyBorder="1"/>
    <xf numFmtId="0" fontId="7" fillId="0" borderId="6" xfId="0" applyFont="1" applyBorder="1"/>
    <xf numFmtId="0" fontId="7" fillId="0" borderId="7" xfId="0" applyFont="1" applyBorder="1"/>
    <xf numFmtId="0" fontId="7" fillId="0" borderId="0" xfId="0" applyFont="1"/>
    <xf numFmtId="0" fontId="7" fillId="0" borderId="8" xfId="0" applyFont="1" applyBorder="1"/>
    <xf numFmtId="0" fontId="8" fillId="0" borderId="0" xfId="0" applyFont="1" applyBorder="1" applyAlignment="1">
      <alignment horizontal="left" indent="1"/>
    </xf>
    <xf numFmtId="0" fontId="7" fillId="0" borderId="0" xfId="0" applyFont="1" applyBorder="1"/>
    <xf numFmtId="0" fontId="7" fillId="0" borderId="9" xfId="0" applyFont="1" applyBorder="1"/>
    <xf numFmtId="0" fontId="8" fillId="0" borderId="0" xfId="0" applyFont="1" applyBorder="1"/>
    <xf numFmtId="0" fontId="8" fillId="0" borderId="0" xfId="0" applyFont="1"/>
    <xf numFmtId="0" fontId="11" fillId="0" borderId="0" xfId="0" applyFont="1" applyBorder="1"/>
    <xf numFmtId="0" fontId="12" fillId="0" borderId="0" xfId="0" applyFont="1" applyBorder="1"/>
    <xf numFmtId="0" fontId="9" fillId="0" borderId="0" xfId="0" applyFont="1" applyBorder="1"/>
    <xf numFmtId="0" fontId="7" fillId="0" borderId="10" xfId="0" applyFont="1" applyBorder="1"/>
    <xf numFmtId="0" fontId="9" fillId="0" borderId="1" xfId="0" applyFont="1" applyBorder="1"/>
    <xf numFmtId="0" fontId="7" fillId="0" borderId="1" xfId="0" applyFont="1" applyBorder="1"/>
    <xf numFmtId="0" fontId="7" fillId="0" borderId="11" xfId="0" applyFont="1" applyBorder="1"/>
    <xf numFmtId="0" fontId="7" fillId="0" borderId="0" xfId="0" applyFont="1" applyBorder="1" applyProtection="1"/>
    <xf numFmtId="0" fontId="13" fillId="0" borderId="0" xfId="0" applyFont="1" applyAlignment="1" applyProtection="1">
      <alignment horizontal="centerContinuous"/>
    </xf>
    <xf numFmtId="0" fontId="14" fillId="0" borderId="0" xfId="0" applyFont="1" applyAlignment="1" applyProtection="1">
      <alignment horizontal="centerContinuous"/>
    </xf>
    <xf numFmtId="0" fontId="7" fillId="0" borderId="0" xfId="0" applyFont="1" applyAlignment="1" applyProtection="1">
      <alignment horizontal="centerContinuous"/>
    </xf>
    <xf numFmtId="0" fontId="7" fillId="0" borderId="0" xfId="0" applyFont="1" applyProtection="1"/>
    <xf numFmtId="0" fontId="24" fillId="0" borderId="0" xfId="0" applyFont="1" applyBorder="1" applyAlignment="1" applyProtection="1">
      <alignment horizontal="centerContinuous"/>
    </xf>
    <xf numFmtId="0" fontId="7" fillId="0" borderId="0" xfId="0" applyFont="1" applyBorder="1" applyAlignment="1" applyProtection="1">
      <alignment horizontal="centerContinuous"/>
    </xf>
    <xf numFmtId="0" fontId="24" fillId="0" borderId="12" xfId="0" applyFont="1" applyBorder="1" applyProtection="1"/>
    <xf numFmtId="0" fontId="7" fillId="0" borderId="12" xfId="0" applyFont="1" applyBorder="1" applyProtection="1"/>
    <xf numFmtId="0" fontId="21" fillId="2" borderId="13" xfId="0" applyFont="1" applyFill="1" applyBorder="1" applyAlignment="1" applyProtection="1">
      <alignment vertical="center"/>
    </xf>
    <xf numFmtId="0" fontId="7" fillId="2" borderId="14" xfId="0" applyFont="1" applyFill="1" applyBorder="1" applyProtection="1"/>
    <xf numFmtId="0" fontId="7" fillId="2" borderId="15" xfId="0" applyFont="1" applyFill="1" applyBorder="1" applyProtection="1"/>
    <xf numFmtId="0" fontId="7" fillId="2" borderId="14" xfId="0" quotePrefix="1" applyFont="1" applyFill="1" applyBorder="1" applyAlignment="1" applyProtection="1">
      <alignment horizontal="left"/>
    </xf>
    <xf numFmtId="0" fontId="7" fillId="0" borderId="8" xfId="0" applyFont="1" applyBorder="1" applyAlignment="1" applyProtection="1">
      <alignment horizontal="center" vertical="center"/>
    </xf>
    <xf numFmtId="0" fontId="7" fillId="0" borderId="0" xfId="0" applyFont="1" applyBorder="1" applyAlignment="1" applyProtection="1">
      <alignment horizontal="left"/>
    </xf>
    <xf numFmtId="0" fontId="7" fillId="0" borderId="9" xfId="0" applyFont="1" applyBorder="1" applyProtection="1"/>
    <xf numFmtId="0" fontId="7" fillId="0" borderId="8" xfId="0" applyFont="1" applyBorder="1" applyProtection="1"/>
    <xf numFmtId="37" fontId="18" fillId="0" borderId="0" xfId="0" applyNumberFormat="1" applyFont="1" applyBorder="1" applyAlignment="1" applyProtection="1">
      <alignment horizontal="right"/>
    </xf>
    <xf numFmtId="10" fontId="7" fillId="0" borderId="0" xfId="0" applyNumberFormat="1" applyFont="1" applyProtection="1"/>
    <xf numFmtId="0" fontId="7" fillId="0" borderId="0" xfId="0" quotePrefix="1" applyFont="1" applyBorder="1" applyAlignment="1" applyProtection="1">
      <alignment horizontal="left"/>
    </xf>
    <xf numFmtId="0" fontId="7" fillId="0" borderId="0" xfId="0" applyFont="1" applyFill="1" applyBorder="1" applyAlignment="1" applyProtection="1">
      <alignment horizontal="left"/>
    </xf>
    <xf numFmtId="0" fontId="7" fillId="0" borderId="10" xfId="0" applyFont="1" applyBorder="1" applyAlignment="1" applyProtection="1">
      <alignment horizontal="center" vertical="center"/>
    </xf>
    <xf numFmtId="0" fontId="7" fillId="0" borderId="1" xfId="0" applyFont="1" applyBorder="1" applyAlignment="1" applyProtection="1">
      <alignment horizontal="left"/>
    </xf>
    <xf numFmtId="0" fontId="7" fillId="0" borderId="1" xfId="0" applyFont="1" applyBorder="1" applyProtection="1"/>
    <xf numFmtId="0" fontId="7" fillId="0" borderId="11" xfId="0" applyFont="1" applyBorder="1" applyProtection="1"/>
    <xf numFmtId="0" fontId="7" fillId="0" borderId="10" xfId="0" applyFont="1" applyBorder="1" applyProtection="1"/>
    <xf numFmtId="0" fontId="7" fillId="0" borderId="0" xfId="0" applyFont="1" applyAlignment="1" applyProtection="1">
      <alignment vertical="center"/>
    </xf>
    <xf numFmtId="0" fontId="7" fillId="2" borderId="14" xfId="0" quotePrefix="1" applyFont="1" applyFill="1" applyBorder="1" applyAlignment="1" applyProtection="1">
      <alignment horizontal="left" vertical="center"/>
    </xf>
    <xf numFmtId="0" fontId="7" fillId="2" borderId="14" xfId="0" applyFont="1" applyFill="1" applyBorder="1" applyAlignment="1" applyProtection="1">
      <alignment vertical="center"/>
    </xf>
    <xf numFmtId="0" fontId="7" fillId="2" borderId="15" xfId="0" applyFont="1" applyFill="1" applyBorder="1" applyAlignment="1" applyProtection="1">
      <alignment vertical="center"/>
    </xf>
    <xf numFmtId="0" fontId="7" fillId="0" borderId="8" xfId="0" quotePrefix="1" applyFont="1" applyBorder="1" applyAlignment="1" applyProtection="1">
      <alignment horizontal="left"/>
    </xf>
    <xf numFmtId="0" fontId="25" fillId="0" borderId="8" xfId="0" applyFont="1" applyFill="1" applyBorder="1" applyAlignment="1" applyProtection="1">
      <alignment vertical="center"/>
    </xf>
    <xf numFmtId="0" fontId="26" fillId="0" borderId="0" xfId="0" applyFont="1" applyBorder="1" applyAlignment="1" applyProtection="1">
      <alignment vertical="center"/>
    </xf>
    <xf numFmtId="0" fontId="25" fillId="0" borderId="0" xfId="0" applyFont="1" applyFill="1" applyBorder="1" applyAlignment="1" applyProtection="1">
      <alignment horizontal="centerContinuous" vertical="center"/>
    </xf>
    <xf numFmtId="0" fontId="26" fillId="0" borderId="0" xfId="0" applyFont="1" applyBorder="1" applyAlignment="1" applyProtection="1">
      <alignment horizontal="centerContinuous" vertical="center"/>
    </xf>
    <xf numFmtId="0" fontId="26" fillId="0" borderId="9" xfId="0" applyFont="1" applyBorder="1" applyAlignment="1" applyProtection="1">
      <alignment horizontal="centerContinuous" vertical="center"/>
    </xf>
    <xf numFmtId="0" fontId="7" fillId="0" borderId="10" xfId="0" quotePrefix="1" applyFont="1" applyBorder="1" applyAlignment="1" applyProtection="1">
      <alignment horizontal="left"/>
    </xf>
    <xf numFmtId="0" fontId="7" fillId="0" borderId="1" xfId="0" applyFont="1" applyBorder="1" applyAlignment="1" applyProtection="1">
      <alignment vertical="center"/>
    </xf>
    <xf numFmtId="0" fontId="20" fillId="0" borderId="0" xfId="0" applyFont="1" applyAlignment="1" applyProtection="1">
      <alignment vertical="center"/>
    </xf>
    <xf numFmtId="0" fontId="18" fillId="0" borderId="8" xfId="0" applyFont="1" applyBorder="1" applyProtection="1"/>
    <xf numFmtId="0" fontId="7" fillId="0" borderId="9" xfId="0" applyFont="1" applyBorder="1" applyAlignment="1" applyProtection="1">
      <alignment horizontal="centerContinuous"/>
    </xf>
    <xf numFmtId="0" fontId="21" fillId="0" borderId="0" xfId="0" applyFont="1" applyFill="1" applyBorder="1" applyAlignment="1" applyProtection="1">
      <alignment horizontal="left" vertical="center"/>
    </xf>
    <xf numFmtId="0" fontId="21" fillId="2" borderId="13" xfId="0" applyFont="1" applyFill="1" applyBorder="1" applyAlignment="1" applyProtection="1">
      <alignment horizontal="left" vertical="center"/>
    </xf>
    <xf numFmtId="0" fontId="18" fillId="0" borderId="10" xfId="0" applyFont="1" applyBorder="1" applyAlignment="1" applyProtection="1">
      <alignment horizontal="left"/>
    </xf>
    <xf numFmtId="0" fontId="7" fillId="0" borderId="1" xfId="0" applyFont="1" applyBorder="1" applyAlignment="1" applyProtection="1">
      <alignment horizontal="centerContinuous"/>
    </xf>
    <xf numFmtId="0" fontId="7" fillId="0" borderId="11" xfId="0" applyFont="1" applyBorder="1" applyAlignment="1" applyProtection="1">
      <alignment horizontal="centerContinuous"/>
    </xf>
    <xf numFmtId="0" fontId="25" fillId="0" borderId="8" xfId="0" applyFont="1" applyBorder="1" applyAlignment="1" applyProtection="1">
      <alignment vertical="center"/>
    </xf>
    <xf numFmtId="0" fontId="25" fillId="0" borderId="0" xfId="0" applyFont="1" applyBorder="1" applyProtection="1"/>
    <xf numFmtId="0" fontId="7" fillId="0" borderId="8" xfId="0" applyFont="1" applyBorder="1" applyAlignment="1" applyProtection="1">
      <alignment horizontal="left" vertical="center"/>
    </xf>
    <xf numFmtId="0" fontId="7" fillId="0" borderId="10" xfId="0" applyFont="1" applyBorder="1" applyAlignment="1" applyProtection="1">
      <alignment horizontal="left" vertical="center"/>
    </xf>
    <xf numFmtId="0" fontId="25" fillId="0" borderId="5" xfId="0" applyFont="1" applyBorder="1" applyProtection="1"/>
    <xf numFmtId="0" fontId="7" fillId="0" borderId="0" xfId="0" quotePrefix="1" applyFont="1" applyFill="1" applyBorder="1" applyAlignment="1" applyProtection="1">
      <alignment horizontal="left"/>
    </xf>
    <xf numFmtId="0" fontId="7" fillId="0" borderId="0" xfId="0" applyFont="1" applyFill="1" applyBorder="1" applyProtection="1"/>
    <xf numFmtId="0" fontId="7" fillId="0" borderId="9" xfId="0" applyFont="1" applyFill="1" applyBorder="1" applyProtection="1"/>
    <xf numFmtId="0" fontId="18" fillId="0" borderId="0" xfId="0" applyFont="1" applyBorder="1" applyProtection="1"/>
    <xf numFmtId="181" fontId="7" fillId="0" borderId="0" xfId="0" applyNumberFormat="1" applyFont="1" applyBorder="1" applyAlignment="1" applyProtection="1">
      <alignment horizontal="left"/>
    </xf>
    <xf numFmtId="189" fontId="18" fillId="0" borderId="9" xfId="0" applyNumberFormat="1" applyFont="1" applyFill="1" applyBorder="1" applyAlignment="1" applyProtection="1"/>
    <xf numFmtId="0" fontId="25" fillId="0" borderId="8" xfId="0" applyFont="1" applyBorder="1" applyProtection="1"/>
    <xf numFmtId="0" fontId="7" fillId="0" borderId="0" xfId="0" applyFont="1" applyBorder="1" applyAlignment="1" applyProtection="1">
      <alignment horizontal="center" vertical="center"/>
    </xf>
    <xf numFmtId="0" fontId="7" fillId="0" borderId="0" xfId="0" applyFont="1" applyBorder="1" applyAlignment="1" applyProtection="1">
      <alignment vertical="center"/>
    </xf>
    <xf numFmtId="0" fontId="18" fillId="0" borderId="9" xfId="0" applyFont="1" applyBorder="1" applyAlignment="1" applyProtection="1">
      <alignment horizontal="right"/>
    </xf>
    <xf numFmtId="181" fontId="7" fillId="0" borderId="8" xfId="0" quotePrefix="1" applyNumberFormat="1" applyFont="1" applyBorder="1" applyAlignment="1" applyProtection="1">
      <alignment horizontal="left"/>
    </xf>
    <xf numFmtId="0" fontId="7" fillId="0" borderId="1" xfId="0" applyFont="1" applyBorder="1" applyAlignment="1" applyProtection="1">
      <alignment horizontal="center" vertical="center"/>
    </xf>
    <xf numFmtId="181" fontId="7" fillId="0" borderId="10" xfId="0" quotePrefix="1" applyNumberFormat="1" applyFont="1" applyBorder="1" applyAlignment="1" applyProtection="1">
      <alignment horizontal="left"/>
    </xf>
    <xf numFmtId="180" fontId="7" fillId="0" borderId="1" xfId="0" applyNumberFormat="1" applyFont="1" applyBorder="1" applyAlignment="1" applyProtection="1">
      <alignment horizontal="left"/>
    </xf>
    <xf numFmtId="180" fontId="7" fillId="0" borderId="0" xfId="0" applyNumberFormat="1" applyFont="1" applyBorder="1" applyAlignment="1" applyProtection="1">
      <alignment horizontal="left"/>
    </xf>
    <xf numFmtId="0" fontId="21" fillId="0" borderId="0" xfId="0" applyFont="1" applyAlignment="1" applyProtection="1">
      <alignment horizontal="left"/>
    </xf>
    <xf numFmtId="0" fontId="7" fillId="0" borderId="0" xfId="0" applyFont="1" applyAlignment="1" applyProtection="1">
      <alignment horizontal="left"/>
    </xf>
    <xf numFmtId="0" fontId="17" fillId="0" borderId="0" xfId="0" applyFont="1" applyAlignment="1" applyProtection="1">
      <alignment horizontal="left"/>
    </xf>
    <xf numFmtId="0" fontId="27" fillId="0" borderId="0" xfId="0" applyFont="1" applyFill="1" applyBorder="1" applyProtection="1"/>
    <xf numFmtId="0" fontId="22" fillId="2" borderId="13" xfId="0" applyFont="1" applyFill="1" applyBorder="1" applyProtection="1"/>
    <xf numFmtId="0" fontId="21" fillId="2" borderId="14" xfId="0" applyFont="1" applyFill="1" applyBorder="1" applyProtection="1"/>
    <xf numFmtId="0" fontId="19" fillId="0" borderId="0" xfId="0" applyFont="1" applyFill="1" applyBorder="1" applyProtection="1"/>
    <xf numFmtId="0" fontId="20" fillId="0" borderId="0" xfId="0" applyFont="1" applyProtection="1"/>
    <xf numFmtId="176" fontId="18" fillId="0" borderId="0" xfId="0" applyNumberFormat="1" applyFont="1" applyBorder="1" applyProtection="1"/>
    <xf numFmtId="176" fontId="7" fillId="0" borderId="0" xfId="0" applyNumberFormat="1" applyFont="1" applyBorder="1" applyProtection="1"/>
    <xf numFmtId="0" fontId="7" fillId="0" borderId="8" xfId="0" applyFont="1" applyBorder="1" applyAlignment="1" applyProtection="1">
      <alignment horizontal="left"/>
    </xf>
    <xf numFmtId="176" fontId="18" fillId="0" borderId="9" xfId="0" applyNumberFormat="1" applyFont="1" applyBorder="1" applyProtection="1"/>
    <xf numFmtId="176" fontId="18" fillId="0" borderId="1" xfId="0" applyNumberFormat="1" applyFont="1" applyBorder="1" applyProtection="1"/>
    <xf numFmtId="176" fontId="18" fillId="0" borderId="11" xfId="0" applyNumberFormat="1" applyFont="1" applyBorder="1" applyProtection="1"/>
    <xf numFmtId="0" fontId="21" fillId="0" borderId="8" xfId="0" applyFont="1" applyBorder="1" applyProtection="1"/>
    <xf numFmtId="174" fontId="21" fillId="0" borderId="0" xfId="0" applyNumberFormat="1" applyFont="1" applyBorder="1" applyProtection="1"/>
    <xf numFmtId="174" fontId="21" fillId="0" borderId="9" xfId="0" applyNumberFormat="1" applyFont="1" applyBorder="1" applyProtection="1"/>
    <xf numFmtId="185" fontId="7" fillId="0" borderId="1" xfId="0" applyNumberFormat="1" applyFont="1" applyBorder="1" applyProtection="1"/>
    <xf numFmtId="185" fontId="28" fillId="0" borderId="1" xfId="0" applyNumberFormat="1" applyFont="1" applyBorder="1" applyProtection="1"/>
    <xf numFmtId="185" fontId="7" fillId="0" borderId="11" xfId="0" applyNumberFormat="1" applyFont="1" applyBorder="1" applyProtection="1"/>
    <xf numFmtId="185" fontId="7" fillId="0" borderId="0" xfId="0" applyNumberFormat="1" applyFont="1" applyBorder="1" applyProtection="1"/>
    <xf numFmtId="185" fontId="28" fillId="0" borderId="0" xfId="0" applyNumberFormat="1" applyFont="1" applyBorder="1" applyProtection="1"/>
    <xf numFmtId="0" fontId="21" fillId="2" borderId="15" xfId="0" applyFont="1" applyFill="1" applyBorder="1" applyProtection="1"/>
    <xf numFmtId="174" fontId="18" fillId="0" borderId="0" xfId="0" applyNumberFormat="1" applyFont="1" applyBorder="1" applyProtection="1"/>
    <xf numFmtId="174" fontId="18" fillId="0" borderId="9" xfId="0" applyNumberFormat="1" applyFont="1" applyBorder="1" applyProtection="1"/>
    <xf numFmtId="0" fontId="7" fillId="0" borderId="0" xfId="0" quotePrefix="1" applyFont="1" applyProtection="1"/>
    <xf numFmtId="171" fontId="7" fillId="0" borderId="0" xfId="11" applyFont="1" applyBorder="1"/>
    <xf numFmtId="0" fontId="13" fillId="0" borderId="0" xfId="7" applyFont="1" applyAlignment="1" applyProtection="1">
      <alignment horizontal="centerContinuous"/>
    </xf>
    <xf numFmtId="0" fontId="29" fillId="0" borderId="0" xfId="7" applyFont="1" applyAlignment="1" applyProtection="1">
      <alignment horizontal="centerContinuous"/>
    </xf>
    <xf numFmtId="0" fontId="30" fillId="0" borderId="0" xfId="7" applyFont="1" applyProtection="1"/>
    <xf numFmtId="0" fontId="7" fillId="0" borderId="0" xfId="7" applyFont="1" applyProtection="1"/>
    <xf numFmtId="0" fontId="16" fillId="0" borderId="0" xfId="7" applyFont="1" applyAlignment="1" applyProtection="1">
      <alignment horizontal="centerContinuous"/>
    </xf>
    <xf numFmtId="0" fontId="7" fillId="0" borderId="12" xfId="7" applyFont="1" applyBorder="1" applyProtection="1"/>
    <xf numFmtId="0" fontId="7" fillId="0" borderId="12" xfId="7" applyFont="1" applyBorder="1" applyAlignment="1" applyProtection="1">
      <alignment horizontal="center"/>
    </xf>
    <xf numFmtId="0" fontId="22" fillId="0" borderId="0" xfId="7" quotePrefix="1" applyFont="1" applyAlignment="1" applyProtection="1">
      <alignment horizontal="left"/>
    </xf>
    <xf numFmtId="0" fontId="22" fillId="0" borderId="0" xfId="7" quotePrefix="1" applyFont="1" applyAlignment="1" applyProtection="1">
      <alignment horizontal="center"/>
    </xf>
    <xf numFmtId="0" fontId="7" fillId="0" borderId="5" xfId="7" applyFont="1" applyBorder="1" applyProtection="1"/>
    <xf numFmtId="0" fontId="7" fillId="0" borderId="6" xfId="7" applyFont="1" applyBorder="1" applyProtection="1"/>
    <xf numFmtId="0" fontId="7" fillId="0" borderId="6" xfId="7" applyFont="1" applyBorder="1" applyAlignment="1" applyProtection="1">
      <alignment horizontal="center"/>
    </xf>
    <xf numFmtId="0" fontId="7" fillId="0" borderId="7" xfId="7" applyFont="1" applyBorder="1" applyAlignment="1" applyProtection="1">
      <alignment horizontal="center"/>
    </xf>
    <xf numFmtId="0" fontId="7" fillId="0" borderId="0" xfId="7" applyFont="1" applyBorder="1" applyProtection="1"/>
    <xf numFmtId="0" fontId="21" fillId="0" borderId="1" xfId="7" applyFont="1" applyBorder="1" applyAlignment="1" applyProtection="1">
      <alignment horizontal="centerContinuous"/>
    </xf>
    <xf numFmtId="0" fontId="21" fillId="0" borderId="8" xfId="7" applyFont="1" applyBorder="1" applyAlignment="1" applyProtection="1">
      <alignment vertical="center"/>
    </xf>
    <xf numFmtId="0" fontId="21" fillId="0" borderId="0" xfId="7" applyFont="1" applyBorder="1" applyProtection="1"/>
    <xf numFmtId="0" fontId="31" fillId="0" borderId="0" xfId="7" applyFont="1" applyBorder="1" applyAlignment="1" applyProtection="1">
      <alignment horizontal="center" vertical="center"/>
    </xf>
    <xf numFmtId="0" fontId="31" fillId="0" borderId="9" xfId="7" applyFont="1" applyBorder="1" applyAlignment="1" applyProtection="1">
      <alignment horizontal="center" vertical="center"/>
    </xf>
    <xf numFmtId="0" fontId="25" fillId="0" borderId="0" xfId="7" quotePrefix="1" applyFont="1" applyAlignment="1" applyProtection="1">
      <alignment horizontal="right"/>
    </xf>
    <xf numFmtId="0" fontId="25" fillId="0" borderId="0" xfId="7" applyFont="1" applyAlignment="1" applyProtection="1">
      <alignment horizontal="right"/>
    </xf>
    <xf numFmtId="0" fontId="21" fillId="0" borderId="10" xfId="7" applyFont="1" applyBorder="1" applyProtection="1"/>
    <xf numFmtId="0" fontId="21" fillId="0" borderId="1" xfId="7" applyFont="1" applyBorder="1" applyProtection="1"/>
    <xf numFmtId="0" fontId="21" fillId="0" borderId="1" xfId="7" applyFont="1" applyBorder="1" applyAlignment="1" applyProtection="1">
      <alignment horizontal="center"/>
    </xf>
    <xf numFmtId="0" fontId="21" fillId="0" borderId="11" xfId="7" applyFont="1" applyBorder="1" applyAlignment="1" applyProtection="1">
      <alignment horizontal="center"/>
    </xf>
    <xf numFmtId="0" fontId="21" fillId="0" borderId="0" xfId="7" applyFont="1" applyBorder="1" applyAlignment="1" applyProtection="1">
      <alignment horizontal="center"/>
    </xf>
    <xf numFmtId="0" fontId="32" fillId="0" borderId="0" xfId="7" quotePrefix="1" applyFont="1" applyAlignment="1" applyProtection="1">
      <alignment horizontal="left"/>
    </xf>
    <xf numFmtId="0" fontId="33" fillId="0" borderId="0" xfId="7" applyFont="1" applyAlignment="1" applyProtection="1">
      <alignment horizontal="left"/>
    </xf>
    <xf numFmtId="0" fontId="7" fillId="0" borderId="0" xfId="7" applyFont="1" applyAlignment="1" applyProtection="1">
      <alignment horizontal="center"/>
    </xf>
    <xf numFmtId="0" fontId="21" fillId="0" borderId="0" xfId="7" applyFont="1" applyBorder="1" applyAlignment="1" applyProtection="1">
      <alignment horizontal="left" vertical="center"/>
    </xf>
    <xf numFmtId="0" fontId="31" fillId="0" borderId="0" xfId="7" applyFont="1" applyBorder="1" applyAlignment="1" applyProtection="1">
      <alignment horizontal="center"/>
    </xf>
    <xf numFmtId="0" fontId="21" fillId="0" borderId="0" xfId="7" quotePrefix="1" applyFont="1" applyBorder="1" applyAlignment="1" applyProtection="1">
      <alignment horizontal="left"/>
    </xf>
    <xf numFmtId="171" fontId="18" fillId="0" borderId="0" xfId="0" applyNumberFormat="1" applyFont="1" applyBorder="1" applyProtection="1"/>
    <xf numFmtId="171" fontId="7" fillId="0" borderId="0" xfId="0" applyNumberFormat="1" applyFont="1" applyBorder="1" applyProtection="1"/>
    <xf numFmtId="171" fontId="34" fillId="0" borderId="16" xfId="0" applyNumberFormat="1" applyFont="1" applyBorder="1" applyProtection="1"/>
    <xf numFmtId="171" fontId="34" fillId="0" borderId="17" xfId="0" applyNumberFormat="1" applyFont="1" applyBorder="1" applyProtection="1"/>
    <xf numFmtId="171" fontId="34" fillId="0" borderId="18" xfId="0" applyNumberFormat="1" applyFont="1" applyBorder="1" applyProtection="1"/>
    <xf numFmtId="171" fontId="34" fillId="0" borderId="19" xfId="0" applyNumberFormat="1" applyFont="1" applyBorder="1" applyProtection="1"/>
    <xf numFmtId="171" fontId="34" fillId="0" borderId="0" xfId="0" applyNumberFormat="1" applyFont="1" applyBorder="1" applyProtection="1"/>
    <xf numFmtId="171" fontId="34" fillId="0" borderId="20" xfId="0" applyNumberFormat="1" applyFont="1" applyBorder="1" applyProtection="1"/>
    <xf numFmtId="171" fontId="34" fillId="0" borderId="21" xfId="0" applyNumberFormat="1" applyFont="1" applyBorder="1" applyProtection="1"/>
    <xf numFmtId="171" fontId="34" fillId="0" borderId="22" xfId="0" applyNumberFormat="1" applyFont="1" applyBorder="1" applyProtection="1"/>
    <xf numFmtId="171" fontId="34" fillId="0" borderId="23" xfId="0" applyNumberFormat="1" applyFont="1" applyBorder="1" applyProtection="1"/>
    <xf numFmtId="0" fontId="7" fillId="0" borderId="0" xfId="7" quotePrefix="1" applyFont="1" applyBorder="1" applyAlignment="1" applyProtection="1">
      <alignment horizontal="left"/>
    </xf>
    <xf numFmtId="0" fontId="7" fillId="0" borderId="0" xfId="7" applyFont="1" applyAlignment="1" applyProtection="1">
      <alignment vertical="center"/>
    </xf>
    <xf numFmtId="0" fontId="21" fillId="0" borderId="0" xfId="7" applyFont="1" applyAlignment="1" applyProtection="1">
      <alignment horizontal="left" vertical="center"/>
    </xf>
    <xf numFmtId="177" fontId="21" fillId="0" borderId="0" xfId="0" applyNumberFormat="1" applyFont="1" applyBorder="1" applyProtection="1"/>
    <xf numFmtId="0" fontId="7" fillId="0" borderId="0" xfId="7" applyFont="1" applyAlignment="1" applyProtection="1">
      <alignment horizontal="left"/>
    </xf>
    <xf numFmtId="0" fontId="23" fillId="0" borderId="0" xfId="7" applyFont="1" applyBorder="1" applyAlignment="1" applyProtection="1">
      <alignment horizontal="center"/>
    </xf>
    <xf numFmtId="177" fontId="34" fillId="0" borderId="16" xfId="7" applyNumberFormat="1" applyFont="1" applyBorder="1" applyProtection="1"/>
    <xf numFmtId="177" fontId="34" fillId="0" borderId="17" xfId="7" applyNumberFormat="1" applyFont="1" applyBorder="1" applyProtection="1"/>
    <xf numFmtId="177" fontId="34" fillId="0" borderId="18" xfId="7" applyNumberFormat="1" applyFont="1" applyBorder="1" applyProtection="1"/>
    <xf numFmtId="177" fontId="34" fillId="0" borderId="19" xfId="7" applyNumberFormat="1" applyFont="1" applyFill="1" applyBorder="1" applyProtection="1"/>
    <xf numFmtId="177" fontId="34" fillId="0" borderId="0" xfId="7" applyNumberFormat="1" applyFont="1" applyFill="1" applyBorder="1" applyProtection="1"/>
    <xf numFmtId="177" fontId="34" fillId="0" borderId="20" xfId="7" applyNumberFormat="1" applyFont="1" applyFill="1" applyBorder="1" applyProtection="1"/>
    <xf numFmtId="177" fontId="34" fillId="0" borderId="21" xfId="4" applyNumberFormat="1" applyFont="1" applyFill="1" applyBorder="1" applyAlignment="1" applyProtection="1">
      <alignment horizontal="right"/>
    </xf>
    <xf numFmtId="177" fontId="34" fillId="0" borderId="22" xfId="4" applyNumberFormat="1" applyFont="1" applyFill="1" applyBorder="1" applyAlignment="1" applyProtection="1">
      <alignment horizontal="right"/>
    </xf>
    <xf numFmtId="177" fontId="34" fillId="0" borderId="0" xfId="4" applyNumberFormat="1" applyFont="1" applyBorder="1" applyAlignment="1" applyProtection="1">
      <alignment horizontal="right"/>
    </xf>
    <xf numFmtId="177" fontId="35" fillId="0" borderId="0" xfId="4" applyNumberFormat="1" applyFont="1" applyBorder="1" applyAlignment="1" applyProtection="1">
      <alignment horizontal="right"/>
    </xf>
    <xf numFmtId="0" fontId="7" fillId="0" borderId="22" xfId="7" applyFont="1" applyBorder="1" applyProtection="1"/>
    <xf numFmtId="0" fontId="7" fillId="0" borderId="22" xfId="7" applyFont="1" applyBorder="1" applyAlignment="1" applyProtection="1">
      <alignment horizontal="center"/>
    </xf>
    <xf numFmtId="0" fontId="7" fillId="0" borderId="0" xfId="7" applyFont="1" applyBorder="1" applyAlignment="1" applyProtection="1">
      <alignment horizontal="center"/>
    </xf>
    <xf numFmtId="0" fontId="21" fillId="0" borderId="0" xfId="7" applyFont="1" applyAlignment="1" applyProtection="1">
      <alignment horizontal="left"/>
    </xf>
    <xf numFmtId="185" fontId="36" fillId="0" borderId="0" xfId="0" applyNumberFormat="1" applyFont="1" applyBorder="1" applyProtection="1"/>
    <xf numFmtId="183" fontId="7" fillId="0" borderId="0" xfId="7" applyNumberFormat="1" applyFont="1" applyProtection="1"/>
    <xf numFmtId="37" fontId="7" fillId="0" borderId="0" xfId="7" applyNumberFormat="1" applyFont="1" applyProtection="1"/>
    <xf numFmtId="182" fontId="34" fillId="0" borderId="0" xfId="7" applyNumberFormat="1" applyFont="1" applyProtection="1"/>
    <xf numFmtId="176" fontId="23" fillId="0" borderId="19" xfId="4" applyNumberFormat="1" applyFont="1" applyBorder="1" applyProtection="1"/>
    <xf numFmtId="176" fontId="23" fillId="0" borderId="0" xfId="4" applyNumberFormat="1" applyFont="1" applyBorder="1" applyProtection="1"/>
    <xf numFmtId="176" fontId="23" fillId="0" borderId="20" xfId="4" applyNumberFormat="1" applyFont="1" applyBorder="1" applyProtection="1"/>
    <xf numFmtId="176" fontId="23" fillId="0" borderId="21" xfId="4" applyNumberFormat="1" applyFont="1" applyBorder="1" applyProtection="1"/>
    <xf numFmtId="176" fontId="23" fillId="0" borderId="22" xfId="4" applyNumberFormat="1" applyFont="1" applyBorder="1" applyProtection="1"/>
    <xf numFmtId="176" fontId="23" fillId="0" borderId="23" xfId="4" applyNumberFormat="1" applyFont="1" applyBorder="1" applyProtection="1"/>
    <xf numFmtId="183" fontId="7" fillId="0" borderId="0" xfId="7" applyNumberFormat="1" applyFont="1" applyBorder="1" applyProtection="1"/>
    <xf numFmtId="0" fontId="7" fillId="0" borderId="0" xfId="7" quotePrefix="1" applyFont="1" applyAlignment="1" applyProtection="1">
      <alignment horizontal="left"/>
    </xf>
    <xf numFmtId="37" fontId="34" fillId="0" borderId="0" xfId="0" applyNumberFormat="1" applyFont="1" applyBorder="1" applyProtection="1"/>
    <xf numFmtId="37" fontId="23" fillId="0" borderId="0" xfId="0" applyNumberFormat="1" applyFont="1" applyBorder="1" applyProtection="1"/>
    <xf numFmtId="0" fontId="7" fillId="0" borderId="1" xfId="7" applyFont="1" applyBorder="1" applyProtection="1"/>
    <xf numFmtId="0" fontId="7" fillId="0" borderId="1" xfId="7" applyFont="1" applyBorder="1" applyAlignment="1" applyProtection="1">
      <alignment horizontal="center"/>
    </xf>
    <xf numFmtId="0" fontId="18" fillId="0" borderId="0" xfId="7" applyFont="1" applyBorder="1" applyProtection="1"/>
    <xf numFmtId="0" fontId="18" fillId="0" borderId="0" xfId="7" applyFont="1" applyProtection="1"/>
    <xf numFmtId="0" fontId="14" fillId="0" borderId="0" xfId="0" applyFont="1" applyBorder="1" applyAlignment="1" applyProtection="1">
      <alignment horizontal="left"/>
    </xf>
    <xf numFmtId="0" fontId="23" fillId="0" borderId="0" xfId="0" applyFont="1" applyAlignment="1" applyProtection="1">
      <alignment horizontal="centerContinuous"/>
    </xf>
    <xf numFmtId="0" fontId="13" fillId="0" borderId="0" xfId="0" applyFont="1" applyBorder="1" applyAlignment="1" applyProtection="1">
      <alignment horizontal="left"/>
    </xf>
    <xf numFmtId="0" fontId="16" fillId="0" borderId="0" xfId="0" applyFont="1" applyBorder="1" applyAlignment="1" applyProtection="1">
      <alignment horizontal="left"/>
    </xf>
    <xf numFmtId="0" fontId="16" fillId="0" borderId="0" xfId="0" applyFont="1" applyBorder="1" applyAlignment="1" applyProtection="1">
      <alignment horizontal="centerContinuous"/>
    </xf>
    <xf numFmtId="0" fontId="38" fillId="0" borderId="0" xfId="0" applyFont="1" applyBorder="1" applyAlignment="1" applyProtection="1">
      <alignment horizontal="centerContinuous"/>
    </xf>
    <xf numFmtId="0" fontId="39" fillId="0" borderId="0" xfId="0" applyFont="1" applyBorder="1" applyAlignment="1" applyProtection="1">
      <alignment horizontal="centerContinuous"/>
    </xf>
    <xf numFmtId="0" fontId="16" fillId="0" borderId="12" xfId="0" applyFont="1" applyBorder="1" applyAlignment="1" applyProtection="1">
      <alignment horizontal="centerContinuous"/>
    </xf>
    <xf numFmtId="0" fontId="38" fillId="0" borderId="12" xfId="0" applyFont="1" applyBorder="1" applyAlignment="1" applyProtection="1">
      <alignment horizontal="centerContinuous"/>
    </xf>
    <xf numFmtId="0" fontId="39" fillId="0" borderId="12" xfId="0" applyFont="1" applyBorder="1" applyAlignment="1" applyProtection="1">
      <alignment horizontal="centerContinuous"/>
    </xf>
    <xf numFmtId="0" fontId="23" fillId="0" borderId="0" xfId="0" applyFont="1" applyProtection="1"/>
    <xf numFmtId="0" fontId="21" fillId="0" borderId="0" xfId="0" applyFont="1" applyBorder="1" applyAlignment="1" applyProtection="1">
      <alignment horizontal="centerContinuous"/>
    </xf>
    <xf numFmtId="0" fontId="40" fillId="0" borderId="1" xfId="0" applyFont="1" applyBorder="1" applyAlignment="1" applyProtection="1">
      <alignment horizontal="centerContinuous"/>
    </xf>
    <xf numFmtId="179" fontId="25" fillId="0" borderId="0" xfId="0" quotePrefix="1" applyNumberFormat="1" applyFont="1" applyFill="1" applyBorder="1" applyAlignment="1" applyProtection="1">
      <alignment horizontal="right"/>
    </xf>
    <xf numFmtId="193" fontId="25" fillId="0" borderId="0" xfId="0" quotePrefix="1" applyNumberFormat="1" applyFont="1" applyFill="1" applyBorder="1" applyAlignment="1" applyProtection="1">
      <alignment horizontal="right"/>
    </xf>
    <xf numFmtId="0" fontId="41" fillId="0" borderId="0" xfId="0" applyFont="1" applyProtection="1"/>
    <xf numFmtId="0" fontId="7" fillId="0" borderId="16" xfId="0" applyFont="1" applyBorder="1" applyProtection="1"/>
    <xf numFmtId="0" fontId="7" fillId="0" borderId="17" xfId="0" applyFont="1" applyBorder="1" applyProtection="1"/>
    <xf numFmtId="0" fontId="42" fillId="0" borderId="17" xfId="0" quotePrefix="1" applyFont="1" applyBorder="1" applyAlignment="1" applyProtection="1">
      <alignment horizontal="left"/>
    </xf>
    <xf numFmtId="168" fontId="18" fillId="0" borderId="17" xfId="4" applyNumberFormat="1" applyFont="1" applyBorder="1" applyProtection="1"/>
    <xf numFmtId="0" fontId="7" fillId="0" borderId="21" xfId="0" applyFont="1" applyBorder="1" applyProtection="1"/>
    <xf numFmtId="0" fontId="7" fillId="0" borderId="22" xfId="0" applyFont="1" applyBorder="1" applyProtection="1"/>
    <xf numFmtId="0" fontId="42" fillId="0" borderId="22" xfId="0" applyFont="1" applyBorder="1" applyProtection="1"/>
    <xf numFmtId="168" fontId="18" fillId="0" borderId="22" xfId="4" applyNumberFormat="1" applyFont="1" applyBorder="1" applyProtection="1"/>
    <xf numFmtId="0" fontId="42" fillId="0" borderId="0" xfId="0" applyFont="1" applyProtection="1"/>
    <xf numFmtId="0" fontId="21" fillId="0" borderId="0" xfId="0" quotePrefix="1" applyFont="1" applyAlignment="1" applyProtection="1">
      <alignment horizontal="left"/>
    </xf>
    <xf numFmtId="173" fontId="7" fillId="0" borderId="0" xfId="0" applyNumberFormat="1" applyFont="1" applyProtection="1"/>
    <xf numFmtId="0" fontId="7" fillId="0" borderId="0" xfId="0" quotePrefix="1" applyFont="1" applyAlignment="1" applyProtection="1">
      <alignment horizontal="left"/>
    </xf>
    <xf numFmtId="0" fontId="42" fillId="0" borderId="0" xfId="0" quotePrefix="1" applyFont="1" applyAlignment="1" applyProtection="1">
      <alignment horizontal="left"/>
    </xf>
    <xf numFmtId="169" fontId="18" fillId="0" borderId="0" xfId="4" applyNumberFormat="1" applyFont="1" applyProtection="1"/>
    <xf numFmtId="169" fontId="18" fillId="0" borderId="1" xfId="4" applyNumberFormat="1" applyFont="1" applyBorder="1" applyProtection="1"/>
    <xf numFmtId="169" fontId="7" fillId="0" borderId="1" xfId="4" applyNumberFormat="1" applyFont="1" applyBorder="1" applyProtection="1"/>
    <xf numFmtId="0" fontId="37" fillId="0" borderId="0" xfId="0" quotePrefix="1" applyFont="1" applyAlignment="1" applyProtection="1">
      <alignment horizontal="left"/>
    </xf>
    <xf numFmtId="170" fontId="41" fillId="0" borderId="0" xfId="4" applyNumberFormat="1" applyFont="1" applyProtection="1"/>
    <xf numFmtId="170" fontId="7" fillId="0" borderId="0" xfId="4" applyNumberFormat="1" applyFont="1" applyProtection="1"/>
    <xf numFmtId="169" fontId="7" fillId="0" borderId="0" xfId="4" applyNumberFormat="1" applyFont="1" applyProtection="1"/>
    <xf numFmtId="0" fontId="21" fillId="0" borderId="22" xfId="0" quotePrefix="1" applyFont="1" applyBorder="1" applyAlignment="1" applyProtection="1">
      <alignment horizontal="left"/>
    </xf>
    <xf numFmtId="0" fontId="37" fillId="0" borderId="22" xfId="0" quotePrefix="1" applyFont="1" applyBorder="1" applyAlignment="1" applyProtection="1">
      <alignment horizontal="left"/>
    </xf>
    <xf numFmtId="170" fontId="44" fillId="0" borderId="22" xfId="4" applyNumberFormat="1" applyFont="1" applyBorder="1" applyProtection="1"/>
    <xf numFmtId="170" fontId="21" fillId="0" borderId="22" xfId="4" applyNumberFormat="1" applyFont="1" applyBorder="1" applyProtection="1"/>
    <xf numFmtId="170" fontId="44" fillId="0" borderId="0" xfId="4" applyNumberFormat="1" applyFont="1" applyProtection="1"/>
    <xf numFmtId="170" fontId="21" fillId="0" borderId="0" xfId="4" applyNumberFormat="1" applyFont="1" applyProtection="1"/>
    <xf numFmtId="0" fontId="21" fillId="0" borderId="0" xfId="0" applyFont="1" applyProtection="1"/>
    <xf numFmtId="172" fontId="7" fillId="0" borderId="0" xfId="4" applyNumberFormat="1" applyFont="1" applyProtection="1"/>
    <xf numFmtId="0" fontId="7" fillId="0" borderId="0" xfId="0" applyFont="1" applyAlignment="1" applyProtection="1">
      <alignment horizontal="left" indent="1"/>
    </xf>
    <xf numFmtId="0" fontId="37" fillId="0" borderId="0" xfId="0" applyFont="1" applyProtection="1"/>
    <xf numFmtId="0" fontId="42" fillId="0" borderId="0" xfId="0" applyFont="1" applyBorder="1" applyProtection="1"/>
    <xf numFmtId="171" fontId="45" fillId="0" borderId="0" xfId="0" applyNumberFormat="1" applyFont="1" applyBorder="1" applyProtection="1"/>
    <xf numFmtId="186" fontId="7" fillId="0" borderId="0" xfId="0" applyNumberFormat="1" applyFont="1" applyProtection="1"/>
    <xf numFmtId="186" fontId="18" fillId="0" borderId="0" xfId="0" applyNumberFormat="1" applyFont="1" applyProtection="1"/>
    <xf numFmtId="0" fontId="18" fillId="0" borderId="0" xfId="0" applyFont="1" applyAlignment="1" applyProtection="1">
      <alignment horizontal="center"/>
    </xf>
    <xf numFmtId="0" fontId="23" fillId="0" borderId="1" xfId="0" applyFont="1" applyBorder="1" applyProtection="1"/>
    <xf numFmtId="9" fontId="7" fillId="0" borderId="0" xfId="0" applyNumberFormat="1" applyFont="1" applyProtection="1"/>
    <xf numFmtId="0" fontId="23" fillId="0" borderId="0" xfId="0" applyFont="1" applyBorder="1" applyProtection="1"/>
    <xf numFmtId="185" fontId="7" fillId="0" borderId="0" xfId="4" applyNumberFormat="1" applyFont="1" applyBorder="1" applyProtection="1"/>
    <xf numFmtId="0" fontId="37" fillId="0" borderId="0" xfId="0" applyFont="1" applyAlignment="1" applyProtection="1">
      <alignment horizontal="right" vertical="center"/>
    </xf>
    <xf numFmtId="179" fontId="25" fillId="0" borderId="0" xfId="0" quotePrefix="1" applyNumberFormat="1" applyFont="1" applyBorder="1" applyAlignment="1" applyProtection="1">
      <alignment horizontal="right"/>
    </xf>
    <xf numFmtId="193" fontId="25" fillId="0" borderId="0" xfId="0" quotePrefix="1" applyNumberFormat="1" applyFont="1" applyBorder="1" applyAlignment="1" applyProtection="1">
      <alignment horizontal="right"/>
    </xf>
    <xf numFmtId="0" fontId="25" fillId="0" borderId="0" xfId="0" quotePrefix="1" applyFont="1" applyBorder="1" applyAlignment="1" applyProtection="1">
      <alignment horizontal="right"/>
    </xf>
    <xf numFmtId="0" fontId="42" fillId="0" borderId="17" xfId="0" applyFont="1" applyBorder="1" applyProtection="1"/>
    <xf numFmtId="0" fontId="25" fillId="0" borderId="17" xfId="0" applyFont="1" applyBorder="1" applyProtection="1"/>
    <xf numFmtId="173" fontId="7" fillId="0" borderId="17" xfId="0" applyNumberFormat="1" applyFont="1" applyBorder="1" applyProtection="1"/>
    <xf numFmtId="173" fontId="7" fillId="0" borderId="18" xfId="0" applyNumberFormat="1" applyFont="1" applyBorder="1" applyProtection="1"/>
    <xf numFmtId="0" fontId="25" fillId="0" borderId="22" xfId="0" applyFont="1" applyBorder="1" applyProtection="1"/>
    <xf numFmtId="171" fontId="7" fillId="0" borderId="22" xfId="0" applyNumberFormat="1" applyFont="1" applyBorder="1" applyAlignment="1" applyProtection="1">
      <alignment horizontal="right"/>
    </xf>
    <xf numFmtId="186" fontId="7" fillId="0" borderId="22" xfId="0" applyNumberFormat="1" applyFont="1" applyBorder="1" applyAlignment="1" applyProtection="1">
      <alignment horizontal="right"/>
    </xf>
    <xf numFmtId="186" fontId="7" fillId="0" borderId="23" xfId="0" applyNumberFormat="1" applyFont="1" applyBorder="1" applyAlignment="1" applyProtection="1">
      <alignment horizontal="right"/>
    </xf>
    <xf numFmtId="0" fontId="40" fillId="0" borderId="0" xfId="0" applyFont="1" applyProtection="1"/>
    <xf numFmtId="0" fontId="40" fillId="0" borderId="0" xfId="0" applyFont="1" applyAlignment="1" applyProtection="1">
      <alignment horizontal="left"/>
    </xf>
    <xf numFmtId="173" fontId="18" fillId="0" borderId="0" xfId="4" applyNumberFormat="1" applyFont="1" applyBorder="1" applyProtection="1"/>
    <xf numFmtId="173" fontId="7" fillId="0" borderId="0" xfId="4" applyNumberFormat="1" applyFont="1" applyBorder="1" applyProtection="1"/>
    <xf numFmtId="37" fontId="7" fillId="0" borderId="0" xfId="0" applyNumberFormat="1" applyFont="1" applyProtection="1"/>
    <xf numFmtId="173" fontId="18" fillId="0" borderId="1" xfId="4" applyNumberFormat="1" applyFont="1" applyBorder="1" applyProtection="1"/>
    <xf numFmtId="0" fontId="47" fillId="0" borderId="0" xfId="0" applyFont="1" applyProtection="1"/>
    <xf numFmtId="173" fontId="21" fillId="0" borderId="0" xfId="4" applyNumberFormat="1" applyFont="1" applyBorder="1" applyProtection="1"/>
    <xf numFmtId="37" fontId="7" fillId="0" borderId="0" xfId="4" applyNumberFormat="1" applyFont="1" applyBorder="1" applyProtection="1"/>
    <xf numFmtId="39" fontId="18" fillId="0" borderId="0" xfId="4" applyNumberFormat="1" applyFont="1" applyBorder="1" applyProtection="1"/>
    <xf numFmtId="39" fontId="7" fillId="0" borderId="0" xfId="4" applyNumberFormat="1" applyFont="1" applyBorder="1" applyProtection="1"/>
    <xf numFmtId="37" fontId="21" fillId="0" borderId="0" xfId="4" applyNumberFormat="1" applyFont="1" applyBorder="1" applyProtection="1"/>
    <xf numFmtId="0" fontId="21" fillId="0" borderId="22" xfId="0" applyFont="1" applyBorder="1" applyProtection="1"/>
    <xf numFmtId="0" fontId="47" fillId="0" borderId="22" xfId="0" applyFont="1" applyBorder="1" applyProtection="1"/>
    <xf numFmtId="37" fontId="21" fillId="0" borderId="22" xfId="4" applyNumberFormat="1" applyFont="1" applyBorder="1" applyProtection="1"/>
    <xf numFmtId="0" fontId="18" fillId="0" borderId="0" xfId="0" applyFont="1" applyProtection="1"/>
    <xf numFmtId="0" fontId="21" fillId="0" borderId="1" xfId="0" quotePrefix="1" applyFont="1" applyBorder="1" applyAlignment="1" applyProtection="1">
      <alignment horizontal="left"/>
    </xf>
    <xf numFmtId="0" fontId="21" fillId="0" borderId="1" xfId="0" applyFont="1" applyBorder="1" applyProtection="1"/>
    <xf numFmtId="0" fontId="47" fillId="0" borderId="1" xfId="0" applyFont="1" applyBorder="1" applyProtection="1"/>
    <xf numFmtId="37" fontId="21" fillId="0" borderId="1" xfId="4" applyNumberFormat="1" applyFont="1" applyBorder="1" applyProtection="1"/>
    <xf numFmtId="170" fontId="7" fillId="0" borderId="0" xfId="4" applyNumberFormat="1" applyFont="1" applyBorder="1" applyProtection="1"/>
    <xf numFmtId="164" fontId="18" fillId="0" borderId="0" xfId="0" applyNumberFormat="1" applyFont="1" applyBorder="1" applyProtection="1"/>
    <xf numFmtId="0" fontId="7" fillId="0" borderId="26" xfId="0" applyFont="1" applyBorder="1" applyProtection="1"/>
    <xf numFmtId="0" fontId="7" fillId="0" borderId="27" xfId="0" applyFont="1" applyBorder="1" applyProtection="1"/>
    <xf numFmtId="0" fontId="42" fillId="0" borderId="27" xfId="0" applyFont="1" applyBorder="1" applyProtection="1"/>
    <xf numFmtId="0" fontId="25" fillId="0" borderId="27" xfId="0" applyFont="1" applyBorder="1" applyProtection="1"/>
    <xf numFmtId="173" fontId="23" fillId="0" borderId="27" xfId="4" applyNumberFormat="1" applyFont="1" applyBorder="1" applyAlignment="1" applyProtection="1">
      <alignment horizontal="right"/>
    </xf>
    <xf numFmtId="0" fontId="21" fillId="0" borderId="0" xfId="0" applyFont="1" applyBorder="1" applyProtection="1"/>
    <xf numFmtId="173" fontId="25" fillId="0" borderId="0" xfId="0" applyNumberFormat="1" applyFont="1" applyBorder="1" applyProtection="1"/>
    <xf numFmtId="173" fontId="18" fillId="0" borderId="1" xfId="4" applyNumberFormat="1" applyFont="1" applyBorder="1" applyAlignment="1" applyProtection="1">
      <alignment horizontal="right"/>
    </xf>
    <xf numFmtId="37" fontId="21" fillId="0" borderId="0" xfId="4" applyNumberFormat="1" applyFont="1" applyBorder="1" applyAlignment="1" applyProtection="1">
      <alignment horizontal="right"/>
    </xf>
    <xf numFmtId="0" fontId="7" fillId="0" borderId="0" xfId="0" applyFont="1" applyFill="1" applyAlignment="1" applyProtection="1">
      <alignment horizontal="left"/>
    </xf>
    <xf numFmtId="0" fontId="7" fillId="0" borderId="0" xfId="0" applyFont="1" applyFill="1" applyProtection="1"/>
    <xf numFmtId="39" fontId="21" fillId="0" borderId="0" xfId="4" applyNumberFormat="1" applyFont="1" applyBorder="1" applyProtection="1"/>
    <xf numFmtId="165" fontId="21" fillId="0" borderId="0" xfId="0" quotePrefix="1" applyNumberFormat="1" applyFont="1" applyBorder="1" applyAlignment="1" applyProtection="1">
      <alignment horizontal="left"/>
    </xf>
    <xf numFmtId="165" fontId="21" fillId="0" borderId="0" xfId="0" applyNumberFormat="1" applyFont="1" applyBorder="1" applyAlignment="1" applyProtection="1">
      <alignment horizontal="left"/>
    </xf>
    <xf numFmtId="165" fontId="7" fillId="0" borderId="0" xfId="0" applyNumberFormat="1" applyFont="1" applyBorder="1" applyAlignment="1" applyProtection="1">
      <alignment horizontal="left"/>
    </xf>
    <xf numFmtId="173" fontId="18" fillId="0" borderId="0" xfId="4" applyNumberFormat="1" applyFont="1" applyFill="1" applyBorder="1" applyProtection="1"/>
    <xf numFmtId="0" fontId="21" fillId="0" borderId="5" xfId="0" applyFont="1" applyBorder="1" applyProtection="1"/>
    <xf numFmtId="0" fontId="7" fillId="0" borderId="6" xfId="0" applyFont="1" applyBorder="1" applyProtection="1"/>
    <xf numFmtId="0" fontId="23" fillId="0" borderId="6" xfId="0" applyFont="1" applyBorder="1" applyProtection="1"/>
    <xf numFmtId="170" fontId="7" fillId="0" borderId="6" xfId="4" applyNumberFormat="1" applyFont="1" applyBorder="1" applyProtection="1"/>
    <xf numFmtId="9" fontId="21" fillId="0" borderId="0" xfId="0" applyNumberFormat="1" applyFont="1" applyProtection="1"/>
    <xf numFmtId="0" fontId="23" fillId="0" borderId="0" xfId="0" quotePrefix="1" applyFont="1" applyBorder="1" applyProtection="1"/>
    <xf numFmtId="0" fontId="23" fillId="0" borderId="1" xfId="0" quotePrefix="1" applyFont="1" applyBorder="1" applyProtection="1"/>
    <xf numFmtId="182" fontId="22" fillId="0" borderId="1" xfId="0" applyNumberFormat="1" applyFont="1" applyBorder="1" applyProtection="1"/>
    <xf numFmtId="0" fontId="48" fillId="0" borderId="6" xfId="0" quotePrefix="1" applyFont="1" applyBorder="1" applyProtection="1"/>
    <xf numFmtId="182" fontId="22" fillId="0" borderId="0" xfId="0" applyNumberFormat="1" applyFont="1" applyBorder="1" applyProtection="1"/>
    <xf numFmtId="0" fontId="23" fillId="0" borderId="0" xfId="0" quotePrefix="1" applyFont="1" applyProtection="1"/>
    <xf numFmtId="0" fontId="7" fillId="0" borderId="12" xfId="0" applyFont="1" applyBorder="1" applyAlignment="1" applyProtection="1">
      <alignment horizontal="centerContinuous"/>
    </xf>
    <xf numFmtId="0" fontId="22" fillId="0" borderId="0" xfId="0" quotePrefix="1" applyFont="1" applyProtection="1"/>
    <xf numFmtId="0" fontId="22" fillId="0" borderId="0" xfId="0" quotePrefix="1" applyFont="1" applyAlignment="1" applyProtection="1">
      <alignment horizontal="left"/>
    </xf>
    <xf numFmtId="0" fontId="7" fillId="0" borderId="0" xfId="0" applyFont="1" applyAlignment="1" applyProtection="1">
      <alignment horizontal="right"/>
    </xf>
    <xf numFmtId="179" fontId="25" fillId="0" borderId="0" xfId="0" applyNumberFormat="1" applyFont="1" applyAlignment="1" applyProtection="1">
      <alignment horizontal="right"/>
    </xf>
    <xf numFmtId="0" fontId="25" fillId="0" borderId="0" xfId="0" applyFont="1" applyAlignment="1" applyProtection="1">
      <alignment horizontal="right"/>
    </xf>
    <xf numFmtId="37" fontId="7" fillId="0" borderId="0" xfId="4" applyNumberFormat="1" applyFont="1" applyProtection="1"/>
    <xf numFmtId="173" fontId="7" fillId="0" borderId="0" xfId="4" applyNumberFormat="1" applyFont="1" applyProtection="1"/>
    <xf numFmtId="37" fontId="7" fillId="0" borderId="0" xfId="4" applyNumberFormat="1" applyFont="1" applyFill="1" applyProtection="1"/>
    <xf numFmtId="37" fontId="18" fillId="0" borderId="0" xfId="4" applyNumberFormat="1" applyFont="1" applyBorder="1" applyProtection="1"/>
    <xf numFmtId="170" fontId="7" fillId="0" borderId="0" xfId="4" applyNumberFormat="1" applyFont="1" applyFill="1" applyBorder="1" applyProtection="1"/>
    <xf numFmtId="37" fontId="18" fillId="0" borderId="0" xfId="4" applyNumberFormat="1" applyFont="1" applyFill="1" applyProtection="1"/>
    <xf numFmtId="173" fontId="21" fillId="0" borderId="6" xfId="4" applyNumberFormat="1" applyFont="1" applyBorder="1" applyProtection="1"/>
    <xf numFmtId="164" fontId="21" fillId="0" borderId="0" xfId="4" applyNumberFormat="1" applyFont="1" applyProtection="1"/>
    <xf numFmtId="192" fontId="21" fillId="0" borderId="0" xfId="4" applyNumberFormat="1" applyFont="1" applyProtection="1"/>
    <xf numFmtId="164" fontId="49" fillId="0" borderId="0" xfId="4" applyNumberFormat="1" applyFont="1" applyProtection="1"/>
    <xf numFmtId="37" fontId="21" fillId="0" borderId="0" xfId="4" applyNumberFormat="1" applyFont="1" applyProtection="1"/>
    <xf numFmtId="175" fontId="21" fillId="0" borderId="0" xfId="4" applyNumberFormat="1" applyFont="1" applyProtection="1"/>
    <xf numFmtId="0" fontId="7" fillId="0" borderId="5" xfId="0" applyFont="1" applyBorder="1" applyProtection="1"/>
    <xf numFmtId="0" fontId="21" fillId="0" borderId="6" xfId="0" quotePrefix="1" applyFont="1" applyBorder="1" applyAlignment="1" applyProtection="1">
      <alignment horizontal="left"/>
    </xf>
    <xf numFmtId="37" fontId="21" fillId="0" borderId="6" xfId="4" applyNumberFormat="1" applyFont="1" applyBorder="1" applyProtection="1"/>
    <xf numFmtId="37" fontId="7" fillId="0" borderId="6" xfId="4" applyNumberFormat="1" applyFont="1" applyBorder="1" applyProtection="1"/>
    <xf numFmtId="0" fontId="21" fillId="0" borderId="0" xfId="0" quotePrefix="1" applyFont="1" applyBorder="1" applyAlignment="1" applyProtection="1">
      <alignment horizontal="left"/>
    </xf>
    <xf numFmtId="0" fontId="7" fillId="0" borderId="10" xfId="0" applyFont="1" applyBorder="1" applyAlignment="1" applyProtection="1">
      <alignment horizontal="left"/>
    </xf>
    <xf numFmtId="37" fontId="7" fillId="0" borderId="1" xfId="4" applyNumberFormat="1" applyFont="1" applyBorder="1" applyProtection="1"/>
    <xf numFmtId="0" fontId="40" fillId="0" borderId="0" xfId="0" applyFont="1" applyBorder="1" applyAlignment="1" applyProtection="1">
      <alignment horizontal="centerContinuous"/>
    </xf>
    <xf numFmtId="0" fontId="22" fillId="0" borderId="0" xfId="0" applyFont="1" applyAlignment="1" applyProtection="1">
      <alignment horizontal="left"/>
    </xf>
    <xf numFmtId="0" fontId="25" fillId="0" borderId="0" xfId="0" applyFont="1" applyBorder="1" applyAlignment="1" applyProtection="1">
      <alignment horizontal="right"/>
    </xf>
    <xf numFmtId="173" fontId="18" fillId="0" borderId="0" xfId="4" applyNumberFormat="1" applyFont="1" applyProtection="1"/>
    <xf numFmtId="175" fontId="7" fillId="0" borderId="0" xfId="4" applyNumberFormat="1" applyFont="1" applyProtection="1"/>
    <xf numFmtId="164" fontId="21" fillId="0" borderId="0" xfId="4" applyNumberFormat="1" applyFont="1" applyBorder="1" applyProtection="1"/>
    <xf numFmtId="175" fontId="50" fillId="0" borderId="0" xfId="4" applyNumberFormat="1" applyFont="1" applyBorder="1" applyProtection="1"/>
    <xf numFmtId="169" fontId="7" fillId="0" borderId="0" xfId="4" applyNumberFormat="1" applyFont="1" applyBorder="1" applyProtection="1"/>
    <xf numFmtId="0" fontId="22" fillId="0" borderId="0" xfId="0" applyFont="1" applyProtection="1"/>
    <xf numFmtId="178" fontId="22" fillId="0" borderId="0" xfId="4" applyNumberFormat="1" applyFont="1" applyBorder="1" applyProtection="1"/>
    <xf numFmtId="178" fontId="22" fillId="0" borderId="0" xfId="4" applyNumberFormat="1" applyFont="1" applyProtection="1"/>
    <xf numFmtId="0" fontId="22" fillId="0" borderId="1" xfId="0" quotePrefix="1" applyFont="1" applyBorder="1" applyAlignment="1" applyProtection="1">
      <alignment horizontal="left"/>
    </xf>
    <xf numFmtId="178" fontId="7" fillId="0" borderId="1" xfId="0" applyNumberFormat="1" applyFont="1" applyBorder="1" applyProtection="1"/>
    <xf numFmtId="0" fontId="51" fillId="0" borderId="0" xfId="0" applyFont="1" applyAlignment="1" applyProtection="1">
      <alignment horizontal="centerContinuous"/>
    </xf>
    <xf numFmtId="0" fontId="52" fillId="0" borderId="0" xfId="0" applyFont="1" applyAlignment="1" applyProtection="1">
      <alignment horizontal="centerContinuous"/>
    </xf>
    <xf numFmtId="0" fontId="53" fillId="0" borderId="0" xfId="0" applyFont="1" applyAlignment="1" applyProtection="1">
      <alignment horizontal="centerContinuous"/>
    </xf>
    <xf numFmtId="0" fontId="15" fillId="0" borderId="0" xfId="0" applyFont="1" applyAlignment="1" applyProtection="1">
      <alignment horizontal="centerContinuous"/>
    </xf>
    <xf numFmtId="0" fontId="16" fillId="0" borderId="0" xfId="0" applyFont="1" applyAlignment="1" applyProtection="1">
      <alignment horizontal="centerContinuous"/>
    </xf>
    <xf numFmtId="0" fontId="47" fillId="0" borderId="0" xfId="0" applyFont="1" applyAlignment="1" applyProtection="1">
      <alignment horizontal="centerContinuous"/>
    </xf>
    <xf numFmtId="0" fontId="23" fillId="0" borderId="12" xfId="0" applyFont="1" applyBorder="1" applyProtection="1"/>
    <xf numFmtId="0" fontId="21" fillId="0" borderId="1" xfId="0" applyFont="1" applyBorder="1" applyAlignment="1" applyProtection="1">
      <alignment horizontal="centerContinuous"/>
    </xf>
    <xf numFmtId="0" fontId="47" fillId="0" borderId="0" xfId="0" applyFont="1" applyBorder="1" applyProtection="1"/>
    <xf numFmtId="0" fontId="54" fillId="0" borderId="0" xfId="0" applyFont="1" applyBorder="1" applyAlignment="1" applyProtection="1">
      <alignment horizontal="right"/>
    </xf>
    <xf numFmtId="0" fontId="25" fillId="0" borderId="6" xfId="0" quotePrefix="1" applyFont="1" applyBorder="1" applyAlignment="1" applyProtection="1">
      <alignment horizontal="right"/>
    </xf>
    <xf numFmtId="0" fontId="55" fillId="0" borderId="0" xfId="0" applyNumberFormat="1" applyFont="1" applyProtection="1"/>
    <xf numFmtId="0" fontId="55" fillId="0" borderId="5" xfId="0" applyNumberFormat="1" applyFont="1" applyBorder="1" applyAlignment="1" applyProtection="1">
      <alignment horizontal="left" vertical="center"/>
    </xf>
    <xf numFmtId="0" fontId="7" fillId="0" borderId="6" xfId="0" applyNumberFormat="1" applyFont="1" applyBorder="1" applyProtection="1"/>
    <xf numFmtId="0" fontId="55" fillId="0" borderId="6" xfId="0" applyNumberFormat="1" applyFont="1" applyBorder="1" applyAlignment="1" applyProtection="1">
      <alignment vertical="center"/>
    </xf>
    <xf numFmtId="0" fontId="7" fillId="0" borderId="0" xfId="0" applyNumberFormat="1" applyFont="1" applyBorder="1" applyProtection="1"/>
    <xf numFmtId="0" fontId="7" fillId="0" borderId="0" xfId="0" applyNumberFormat="1" applyFont="1" applyProtection="1"/>
    <xf numFmtId="191" fontId="28" fillId="0" borderId="0" xfId="0" applyNumberFormat="1" applyFont="1" applyProtection="1"/>
    <xf numFmtId="37" fontId="55" fillId="0" borderId="0" xfId="0" applyNumberFormat="1" applyFont="1" applyProtection="1"/>
    <xf numFmtId="0" fontId="56" fillId="0" borderId="0" xfId="0" applyNumberFormat="1" applyFont="1" applyProtection="1"/>
    <xf numFmtId="0" fontId="55" fillId="0" borderId="10" xfId="0" applyNumberFormat="1" applyFont="1" applyBorder="1" applyAlignment="1" applyProtection="1">
      <alignment horizontal="left" vertical="center"/>
    </xf>
    <xf numFmtId="0" fontId="7" fillId="0" borderId="1" xfId="0" applyNumberFormat="1" applyFont="1" applyBorder="1" applyProtection="1"/>
    <xf numFmtId="0" fontId="55" fillId="0" borderId="1" xfId="0" quotePrefix="1" applyNumberFormat="1" applyFont="1" applyBorder="1" applyAlignment="1" applyProtection="1">
      <alignment horizontal="left" vertical="center"/>
    </xf>
    <xf numFmtId="0" fontId="55" fillId="0" borderId="1" xfId="0" applyNumberFormat="1" applyFont="1" applyBorder="1" applyAlignment="1" applyProtection="1">
      <alignment vertical="center"/>
    </xf>
    <xf numFmtId="199" fontId="7" fillId="0" borderId="0" xfId="0" applyNumberFormat="1" applyFont="1" applyProtection="1"/>
    <xf numFmtId="174" fontId="18" fillId="0" borderId="0" xfId="0" applyNumberFormat="1" applyFont="1" applyProtection="1"/>
    <xf numFmtId="0" fontId="57" fillId="0" borderId="0" xfId="0" applyNumberFormat="1" applyFont="1" applyAlignment="1" applyProtection="1">
      <alignment horizontal="right"/>
    </xf>
    <xf numFmtId="185" fontId="7" fillId="0" borderId="0" xfId="0" applyNumberFormat="1" applyFont="1" applyProtection="1"/>
    <xf numFmtId="174" fontId="7" fillId="0" borderId="8" xfId="0" applyNumberFormat="1" applyFont="1" applyFill="1" applyBorder="1" applyProtection="1"/>
    <xf numFmtId="37" fontId="55" fillId="0" borderId="0" xfId="0" applyNumberFormat="1" applyFont="1" applyBorder="1" applyProtection="1"/>
    <xf numFmtId="173" fontId="55" fillId="0" borderId="0" xfId="0" applyNumberFormat="1" applyFont="1" applyProtection="1"/>
    <xf numFmtId="37" fontId="7" fillId="0" borderId="0" xfId="0" applyNumberFormat="1" applyFont="1" applyBorder="1" applyProtection="1"/>
    <xf numFmtId="0" fontId="36" fillId="0" borderId="0" xfId="0" applyNumberFormat="1" applyFont="1" applyAlignment="1" applyProtection="1">
      <alignment vertical="center"/>
    </xf>
    <xf numFmtId="174" fontId="31" fillId="0" borderId="0" xfId="0" applyNumberFormat="1" applyFont="1" applyBorder="1" applyProtection="1"/>
    <xf numFmtId="0" fontId="57" fillId="0" borderId="0" xfId="0" applyNumberFormat="1" applyFont="1" applyProtection="1"/>
    <xf numFmtId="0" fontId="21" fillId="0" borderId="13" xfId="0" applyFont="1" applyBorder="1" applyProtection="1"/>
    <xf numFmtId="0" fontId="7" fillId="0" borderId="14" xfId="0" applyFont="1" applyBorder="1" applyProtection="1"/>
    <xf numFmtId="0" fontId="25" fillId="0" borderId="0" xfId="0" quotePrefix="1" applyFont="1" applyAlignment="1" applyProtection="1">
      <alignment horizontal="right"/>
    </xf>
    <xf numFmtId="37" fontId="59" fillId="0" borderId="0" xfId="0" applyNumberFormat="1" applyFont="1" applyProtection="1"/>
    <xf numFmtId="37" fontId="34" fillId="0" borderId="0" xfId="0" applyNumberFormat="1" applyFont="1" applyProtection="1"/>
    <xf numFmtId="37" fontId="18" fillId="0" borderId="0" xfId="0" applyNumberFormat="1" applyFont="1" applyProtection="1"/>
    <xf numFmtId="173" fontId="55" fillId="0" borderId="1" xfId="0" applyNumberFormat="1" applyFont="1" applyBorder="1" applyProtection="1"/>
    <xf numFmtId="37" fontId="53" fillId="0" borderId="0" xfId="0" applyNumberFormat="1" applyFont="1" applyProtection="1"/>
    <xf numFmtId="37" fontId="31" fillId="0" borderId="0" xfId="0" applyNumberFormat="1" applyFont="1" applyProtection="1"/>
    <xf numFmtId="37" fontId="36" fillId="0" borderId="0" xfId="0" applyNumberFormat="1" applyFont="1" applyProtection="1"/>
    <xf numFmtId="173" fontId="36" fillId="0" borderId="0" xfId="0" applyNumberFormat="1" applyFont="1" applyProtection="1"/>
    <xf numFmtId="37" fontId="18" fillId="0" borderId="0" xfId="0" applyNumberFormat="1" applyFont="1" applyBorder="1" applyProtection="1"/>
    <xf numFmtId="171" fontId="43" fillId="0" borderId="0" xfId="0" applyNumberFormat="1" applyFont="1" applyBorder="1" applyProtection="1"/>
    <xf numFmtId="37" fontId="34" fillId="0" borderId="6" xfId="0" applyNumberFormat="1" applyFont="1" applyBorder="1" applyProtection="1"/>
    <xf numFmtId="37" fontId="18" fillId="0" borderId="6" xfId="0" applyNumberFormat="1" applyFont="1" applyBorder="1" applyProtection="1"/>
    <xf numFmtId="37" fontId="18" fillId="0" borderId="7" xfId="0" applyNumberFormat="1" applyFont="1" applyBorder="1" applyProtection="1"/>
    <xf numFmtId="37" fontId="31" fillId="0" borderId="0" xfId="0" applyNumberFormat="1" applyFont="1" applyFill="1" applyBorder="1" applyProtection="1"/>
    <xf numFmtId="37" fontId="55" fillId="0" borderId="0" xfId="0" applyNumberFormat="1" applyFont="1" applyFill="1" applyBorder="1" applyProtection="1"/>
    <xf numFmtId="0" fontId="21" fillId="0" borderId="10" xfId="0" applyFont="1" applyBorder="1" applyProtection="1"/>
    <xf numFmtId="37" fontId="53" fillId="0" borderId="1" xfId="0" applyNumberFormat="1" applyFont="1" applyBorder="1" applyProtection="1"/>
    <xf numFmtId="37" fontId="31" fillId="0" borderId="1" xfId="0" applyNumberFormat="1" applyFont="1" applyBorder="1" applyProtection="1"/>
    <xf numFmtId="37" fontId="36" fillId="0" borderId="1" xfId="0" applyNumberFormat="1" applyFont="1" applyBorder="1" applyProtection="1"/>
    <xf numFmtId="37" fontId="57" fillId="0" borderId="0" xfId="0" applyNumberFormat="1" applyFont="1" applyProtection="1"/>
    <xf numFmtId="37" fontId="7" fillId="0" borderId="0" xfId="0" quotePrefix="1" applyNumberFormat="1" applyFont="1" applyBorder="1" applyAlignment="1" applyProtection="1">
      <alignment horizontal="right"/>
    </xf>
    <xf numFmtId="37" fontId="55" fillId="0" borderId="0" xfId="0" quotePrefix="1" applyNumberFormat="1" applyFont="1" applyAlignment="1" applyProtection="1">
      <alignment horizontal="left"/>
    </xf>
    <xf numFmtId="37" fontId="21" fillId="0" borderId="0" xfId="0" applyNumberFormat="1" applyFont="1" applyProtection="1"/>
    <xf numFmtId="0" fontId="49" fillId="0" borderId="0" xfId="0" applyFont="1" applyProtection="1"/>
    <xf numFmtId="37" fontId="34" fillId="0" borderId="1" xfId="0" applyNumberFormat="1" applyFont="1" applyBorder="1" applyProtection="1"/>
    <xf numFmtId="37" fontId="18" fillId="0" borderId="1" xfId="0" applyNumberFormat="1" applyFont="1" applyBorder="1" applyProtection="1"/>
    <xf numFmtId="4" fontId="21" fillId="0" borderId="0" xfId="0" applyNumberFormat="1" applyFont="1" applyBorder="1" applyProtection="1"/>
    <xf numFmtId="4" fontId="7" fillId="0" borderId="0" xfId="4" applyNumberFormat="1" applyFont="1" applyBorder="1" applyProtection="1"/>
    <xf numFmtId="4" fontId="7" fillId="0" borderId="0" xfId="0" applyNumberFormat="1" applyFont="1" applyProtection="1"/>
    <xf numFmtId="168" fontId="55" fillId="0" borderId="0" xfId="4" applyFont="1" applyProtection="1"/>
    <xf numFmtId="185" fontId="18" fillId="0" borderId="0" xfId="4" applyNumberFormat="1" applyFont="1" applyProtection="1"/>
    <xf numFmtId="4" fontId="7" fillId="0" borderId="0" xfId="4" applyNumberFormat="1" applyFont="1" applyBorder="1" applyAlignment="1" applyProtection="1">
      <alignment horizontal="left"/>
    </xf>
    <xf numFmtId="4" fontId="7" fillId="0" borderId="0" xfId="0" applyNumberFormat="1" applyFont="1" applyBorder="1" applyProtection="1"/>
    <xf numFmtId="185" fontId="7" fillId="0" borderId="0" xfId="4" applyNumberFormat="1" applyFont="1" applyProtection="1"/>
    <xf numFmtId="4" fontId="21" fillId="0" borderId="0" xfId="4" applyNumberFormat="1" applyFont="1" applyBorder="1" applyProtection="1"/>
    <xf numFmtId="174" fontId="21" fillId="0" borderId="0" xfId="4" applyNumberFormat="1" applyFont="1" applyBorder="1" applyProtection="1"/>
    <xf numFmtId="179" fontId="25" fillId="0" borderId="0" xfId="0" quotePrefix="1" applyNumberFormat="1" applyFont="1" applyAlignment="1" applyProtection="1">
      <alignment horizontal="right"/>
    </xf>
    <xf numFmtId="198" fontId="7" fillId="0" borderId="0" xfId="0" applyNumberFormat="1" applyFont="1" applyProtection="1"/>
    <xf numFmtId="164" fontId="7" fillId="0" borderId="0" xfId="0" applyNumberFormat="1" applyFont="1" applyBorder="1" applyProtection="1"/>
    <xf numFmtId="164" fontId="21" fillId="0" borderId="0" xfId="0" applyNumberFormat="1" applyFont="1" applyBorder="1" applyProtection="1"/>
    <xf numFmtId="164" fontId="21" fillId="0" borderId="0" xfId="0" applyNumberFormat="1" applyFont="1" applyFill="1" applyBorder="1" applyProtection="1"/>
    <xf numFmtId="0" fontId="7" fillId="0" borderId="0" xfId="0" applyFont="1" applyAlignment="1" applyProtection="1">
      <alignment horizontal="center"/>
    </xf>
    <xf numFmtId="0" fontId="23" fillId="0" borderId="0" xfId="0" applyFont="1" applyFill="1" applyBorder="1" applyProtection="1"/>
    <xf numFmtId="173" fontId="7" fillId="0" borderId="0" xfId="0" applyNumberFormat="1" applyFont="1" applyFill="1" applyBorder="1" applyProtection="1"/>
    <xf numFmtId="173" fontId="7" fillId="0" borderId="1" xfId="0" applyNumberFormat="1" applyFont="1" applyFill="1" applyBorder="1" applyProtection="1"/>
    <xf numFmtId="0" fontId="21" fillId="0" borderId="0" xfId="0" applyFont="1" applyFill="1" applyBorder="1" applyProtection="1"/>
    <xf numFmtId="173" fontId="21" fillId="0" borderId="0" xfId="0" applyNumberFormat="1" applyFont="1" applyFill="1" applyBorder="1" applyProtection="1"/>
    <xf numFmtId="0" fontId="21" fillId="0" borderId="5" xfId="0" applyFont="1" applyBorder="1" applyAlignment="1" applyProtection="1">
      <alignment vertical="center"/>
    </xf>
    <xf numFmtId="0" fontId="7" fillId="0" borderId="6" xfId="0" applyFont="1" applyBorder="1" applyAlignment="1" applyProtection="1">
      <alignment vertical="center"/>
    </xf>
    <xf numFmtId="0" fontId="23" fillId="0" borderId="6" xfId="0" applyFont="1" applyBorder="1" applyAlignment="1" applyProtection="1">
      <alignment vertical="center"/>
    </xf>
    <xf numFmtId="0" fontId="7" fillId="0" borderId="7" xfId="0" applyFont="1" applyBorder="1" applyProtection="1"/>
    <xf numFmtId="0" fontId="7" fillId="0" borderId="8" xfId="0" applyFont="1" applyBorder="1" applyAlignment="1" applyProtection="1">
      <alignment vertical="center"/>
    </xf>
    <xf numFmtId="0" fontId="42" fillId="0" borderId="0" xfId="0" applyFont="1" applyBorder="1" applyAlignment="1" applyProtection="1">
      <alignment vertical="center"/>
    </xf>
    <xf numFmtId="0" fontId="7" fillId="0" borderId="10" xfId="0" applyFont="1" applyBorder="1" applyAlignment="1" applyProtection="1">
      <alignment vertical="center"/>
    </xf>
    <xf numFmtId="0" fontId="42" fillId="0" borderId="1" xfId="0" applyFont="1" applyBorder="1" applyAlignment="1" applyProtection="1">
      <alignment vertical="center"/>
    </xf>
    <xf numFmtId="0" fontId="21" fillId="0" borderId="13" xfId="0" applyFont="1" applyBorder="1" applyAlignment="1" applyProtection="1">
      <alignment vertical="center"/>
    </xf>
    <xf numFmtId="0" fontId="22" fillId="0" borderId="0" xfId="0" applyFont="1" applyAlignment="1" applyProtection="1">
      <alignment vertical="center"/>
    </xf>
    <xf numFmtId="0" fontId="23" fillId="0" borderId="0" xfId="0" applyFont="1" applyAlignment="1" applyProtection="1">
      <alignment vertical="center"/>
    </xf>
    <xf numFmtId="190" fontId="18" fillId="0" borderId="1" xfId="0" applyNumberFormat="1" applyFont="1" applyBorder="1" applyAlignment="1" applyProtection="1">
      <alignment horizontal="right"/>
    </xf>
    <xf numFmtId="14" fontId="7" fillId="0" borderId="6" xfId="0" applyNumberFormat="1" applyFont="1" applyBorder="1" applyAlignment="1" applyProtection="1">
      <alignment horizontal="left"/>
    </xf>
    <xf numFmtId="37" fontId="18" fillId="0" borderId="6" xfId="0" applyNumberFormat="1" applyFont="1" applyBorder="1" applyAlignment="1" applyProtection="1">
      <alignment horizontal="right"/>
    </xf>
    <xf numFmtId="173" fontId="23" fillId="0" borderId="28" xfId="4" applyNumberFormat="1" applyFont="1" applyBorder="1" applyAlignment="1" applyProtection="1">
      <alignment horizontal="right"/>
    </xf>
    <xf numFmtId="0" fontId="7" fillId="0" borderId="0" xfId="12" applyFont="1" applyFill="1"/>
    <xf numFmtId="0" fontId="49" fillId="0" borderId="0" xfId="12" applyFont="1" applyFill="1"/>
    <xf numFmtId="0" fontId="7" fillId="0" borderId="0" xfId="12" applyFont="1"/>
    <xf numFmtId="0" fontId="7" fillId="0" borderId="0" xfId="12" applyFont="1" applyBorder="1"/>
    <xf numFmtId="0" fontId="13" fillId="0" borderId="0" xfId="12" applyFont="1" applyAlignment="1">
      <alignment horizontal="centerContinuous"/>
    </xf>
    <xf numFmtId="0" fontId="61" fillId="0" borderId="0" xfId="12" applyFont="1" applyAlignment="1">
      <alignment horizontal="centerContinuous"/>
    </xf>
    <xf numFmtId="0" fontId="15" fillId="0" borderId="0" xfId="12" applyFont="1" applyAlignment="1">
      <alignment horizontal="centerContinuous"/>
    </xf>
    <xf numFmtId="0" fontId="61" fillId="0" borderId="0" xfId="12" applyFont="1" applyBorder="1" applyAlignment="1">
      <alignment horizontal="centerContinuous"/>
    </xf>
    <xf numFmtId="0" fontId="15" fillId="0" borderId="0" xfId="12" applyFont="1" applyBorder="1" applyAlignment="1">
      <alignment horizontal="centerContinuous"/>
    </xf>
    <xf numFmtId="0" fontId="16" fillId="0" borderId="0" xfId="12" applyFont="1" applyAlignment="1">
      <alignment horizontal="centerContinuous"/>
    </xf>
    <xf numFmtId="0" fontId="16" fillId="0" borderId="0" xfId="12" applyFont="1" applyBorder="1" applyAlignment="1">
      <alignment horizontal="centerContinuous"/>
    </xf>
    <xf numFmtId="0" fontId="7" fillId="0" borderId="12" xfId="12" applyFont="1" applyBorder="1"/>
    <xf numFmtId="0" fontId="17" fillId="0" borderId="0" xfId="12" applyFont="1" applyAlignment="1">
      <alignment horizontal="centerContinuous"/>
    </xf>
    <xf numFmtId="0" fontId="17" fillId="0" borderId="0" xfId="12" applyFont="1" applyBorder="1" applyAlignment="1">
      <alignment horizontal="centerContinuous"/>
    </xf>
    <xf numFmtId="0" fontId="21" fillId="0" borderId="0" xfId="12" applyFont="1" applyAlignment="1">
      <alignment horizontal="centerContinuous"/>
    </xf>
    <xf numFmtId="0" fontId="19" fillId="0" borderId="0" xfId="12" applyFont="1" applyAlignment="1">
      <alignment horizontal="centerContinuous"/>
    </xf>
    <xf numFmtId="0" fontId="40" fillId="0" borderId="1" xfId="12" applyFont="1" applyBorder="1" applyAlignment="1">
      <alignment horizontal="centerContinuous"/>
    </xf>
    <xf numFmtId="0" fontId="22" fillId="0" borderId="1" xfId="12" applyFont="1" applyBorder="1" applyAlignment="1">
      <alignment horizontal="centerContinuous"/>
    </xf>
    <xf numFmtId="0" fontId="7" fillId="0" borderId="1" xfId="12" applyFont="1" applyBorder="1"/>
    <xf numFmtId="179" fontId="21" fillId="0" borderId="1" xfId="0" applyNumberFormat="1" applyFont="1" applyBorder="1"/>
    <xf numFmtId="193" fontId="21" fillId="0" borderId="1" xfId="0" applyNumberFormat="1" applyFont="1" applyBorder="1"/>
    <xf numFmtId="0" fontId="21" fillId="0" borderId="1" xfId="0" applyFont="1" applyBorder="1"/>
    <xf numFmtId="179" fontId="25" fillId="0" borderId="0" xfId="0" applyNumberFormat="1" applyFont="1" applyBorder="1"/>
    <xf numFmtId="193" fontId="25" fillId="0" borderId="0" xfId="0" quotePrefix="1" applyNumberFormat="1" applyFont="1" applyBorder="1" applyAlignment="1">
      <alignment horizontal="right"/>
    </xf>
    <xf numFmtId="0" fontId="25" fillId="0" borderId="0" xfId="0" applyFont="1" applyBorder="1"/>
    <xf numFmtId="0" fontId="21" fillId="0" borderId="0" xfId="12" applyFont="1"/>
    <xf numFmtId="0" fontId="42" fillId="0" borderId="0" xfId="12" applyFont="1"/>
    <xf numFmtId="164" fontId="7" fillId="0" borderId="0" xfId="4" applyNumberFormat="1" applyFont="1" applyBorder="1"/>
    <xf numFmtId="0" fontId="62" fillId="0" borderId="0" xfId="12" applyFont="1"/>
    <xf numFmtId="0" fontId="23" fillId="0" borderId="0" xfId="12" applyFont="1"/>
    <xf numFmtId="0" fontId="18" fillId="0" borderId="0" xfId="12" applyFont="1"/>
    <xf numFmtId="200" fontId="62" fillId="0" borderId="0" xfId="0" applyNumberFormat="1" applyFont="1" applyBorder="1"/>
    <xf numFmtId="200" fontId="22" fillId="0" borderId="0" xfId="0" applyNumberFormat="1" applyFont="1" applyBorder="1"/>
    <xf numFmtId="0" fontId="34" fillId="0" borderId="0" xfId="12" applyFont="1"/>
    <xf numFmtId="0" fontId="7" fillId="0" borderId="22" xfId="12" applyFont="1" applyBorder="1"/>
    <xf numFmtId="0" fontId="18" fillId="0" borderId="22" xfId="12" applyFont="1" applyBorder="1"/>
    <xf numFmtId="0" fontId="7" fillId="0" borderId="0" xfId="12" applyFont="1" applyAlignment="1">
      <alignment vertical="center"/>
    </xf>
    <xf numFmtId="0" fontId="18" fillId="0" borderId="0" xfId="12" applyFont="1" applyAlignment="1">
      <alignment vertical="center"/>
    </xf>
    <xf numFmtId="197" fontId="7" fillId="0" borderId="0" xfId="0" applyNumberFormat="1" applyFont="1" applyBorder="1" applyAlignment="1">
      <alignment vertical="center"/>
    </xf>
    <xf numFmtId="0" fontId="7" fillId="0" borderId="0" xfId="0" applyFont="1" applyAlignment="1">
      <alignment vertical="center"/>
    </xf>
    <xf numFmtId="200" fontId="7" fillId="0" borderId="0" xfId="0" applyNumberFormat="1" applyFont="1" applyBorder="1"/>
    <xf numFmtId="0" fontId="21" fillId="0" borderId="5" xfId="12" applyFont="1" applyBorder="1" applyAlignment="1">
      <alignment horizontal="centerContinuous"/>
    </xf>
    <xf numFmtId="0" fontId="19" fillId="0" borderId="6" xfId="12" applyFont="1" applyBorder="1" applyAlignment="1">
      <alignment horizontal="centerContinuous"/>
    </xf>
    <xf numFmtId="0" fontId="7" fillId="0" borderId="6" xfId="12" applyFont="1" applyBorder="1" applyAlignment="1">
      <alignment horizontal="left"/>
    </xf>
    <xf numFmtId="0" fontId="17" fillId="0" borderId="6" xfId="12" applyFont="1" applyBorder="1" applyAlignment="1">
      <alignment horizontal="centerContinuous"/>
    </xf>
    <xf numFmtId="201" fontId="7" fillId="0" borderId="6" xfId="0" applyNumberFormat="1" applyFont="1" applyFill="1" applyBorder="1" applyAlignment="1">
      <alignment vertical="center"/>
    </xf>
    <xf numFmtId="0" fontId="7" fillId="0" borderId="7" xfId="12" applyFont="1" applyBorder="1"/>
    <xf numFmtId="0" fontId="19" fillId="0" borderId="8" xfId="12" applyFont="1" applyBorder="1" applyAlignment="1">
      <alignment horizontal="centerContinuous"/>
    </xf>
    <xf numFmtId="0" fontId="19" fillId="0" borderId="0" xfId="12" applyFont="1" applyBorder="1" applyAlignment="1">
      <alignment horizontal="centerContinuous"/>
    </xf>
    <xf numFmtId="0" fontId="17" fillId="0" borderId="0" xfId="12" applyFont="1" applyFill="1" applyBorder="1" applyAlignment="1">
      <alignment horizontal="centerContinuous"/>
    </xf>
    <xf numFmtId="0" fontId="7" fillId="0" borderId="9" xfId="12" applyFont="1" applyBorder="1"/>
    <xf numFmtId="0" fontId="7" fillId="0" borderId="8" xfId="12" applyFont="1" applyBorder="1"/>
    <xf numFmtId="0" fontId="7" fillId="0" borderId="0" xfId="12" applyFont="1" applyBorder="1" applyAlignment="1">
      <alignment horizontal="left"/>
    </xf>
    <xf numFmtId="201" fontId="7" fillId="0" borderId="0" xfId="0" applyNumberFormat="1" applyFont="1" applyFill="1" applyBorder="1" applyAlignment="1">
      <alignment vertical="center"/>
    </xf>
    <xf numFmtId="0" fontId="7" fillId="0" borderId="0" xfId="0" applyFont="1" applyBorder="1" applyAlignment="1">
      <alignment vertical="center"/>
    </xf>
    <xf numFmtId="179" fontId="21" fillId="0" borderId="0" xfId="0" applyNumberFormat="1" applyFont="1" applyBorder="1"/>
    <xf numFmtId="200" fontId="7" fillId="0" borderId="0" xfId="0" applyNumberFormat="1" applyFont="1" applyFill="1" applyBorder="1"/>
    <xf numFmtId="0" fontId="7" fillId="0" borderId="10" xfId="12" applyFont="1" applyBorder="1"/>
    <xf numFmtId="179" fontId="25" fillId="0" borderId="1" xfId="0" applyNumberFormat="1" applyFont="1" applyBorder="1"/>
    <xf numFmtId="193" fontId="25" fillId="0" borderId="1" xfId="0" quotePrefix="1" applyNumberFormat="1" applyFont="1" applyBorder="1" applyAlignment="1">
      <alignment horizontal="right"/>
    </xf>
    <xf numFmtId="0" fontId="25" fillId="0" borderId="1" xfId="0" applyFont="1" applyBorder="1"/>
    <xf numFmtId="0" fontId="7" fillId="0" borderId="11" xfId="12" applyFont="1" applyBorder="1"/>
    <xf numFmtId="0" fontId="21" fillId="0" borderId="0" xfId="12" applyFont="1" applyBorder="1"/>
    <xf numFmtId="0" fontId="42" fillId="0" borderId="0" xfId="12" applyFont="1" applyBorder="1"/>
    <xf numFmtId="0" fontId="22" fillId="0" borderId="0" xfId="12" applyFont="1" applyBorder="1"/>
    <xf numFmtId="177" fontId="34" fillId="0" borderId="23" xfId="4" applyNumberFormat="1" applyFont="1" applyFill="1" applyBorder="1" applyAlignment="1" applyProtection="1">
      <alignment horizontal="right"/>
    </xf>
    <xf numFmtId="170" fontId="7" fillId="0" borderId="7" xfId="4" applyNumberFormat="1" applyFont="1" applyBorder="1" applyProtection="1"/>
    <xf numFmtId="4" fontId="64" fillId="0" borderId="5" xfId="11" applyNumberFormat="1" applyFont="1" applyFill="1" applyBorder="1"/>
    <xf numFmtId="181" fontId="7" fillId="0" borderId="14" xfId="0" quotePrefix="1" applyNumberFormat="1" applyFont="1" applyBorder="1" applyAlignment="1" applyProtection="1">
      <alignment horizontal="left"/>
    </xf>
    <xf numFmtId="0" fontId="33" fillId="0" borderId="0" xfId="0" applyFont="1" applyProtection="1"/>
    <xf numFmtId="0" fontId="7" fillId="0" borderId="8" xfId="0" applyFont="1" applyFill="1" applyBorder="1"/>
    <xf numFmtId="186" fontId="7" fillId="3" borderId="0" xfId="0" applyNumberFormat="1" applyFont="1" applyFill="1" applyAlignment="1" applyProtection="1">
      <alignment vertical="center"/>
    </xf>
    <xf numFmtId="196" fontId="58" fillId="3" borderId="15" xfId="0" applyNumberFormat="1" applyFont="1" applyFill="1" applyBorder="1" applyAlignment="1" applyProtection="1">
      <alignment vertical="center"/>
    </xf>
    <xf numFmtId="195" fontId="58" fillId="3" borderId="15" xfId="0" applyNumberFormat="1" applyFont="1" applyFill="1" applyBorder="1" applyAlignment="1" applyProtection="1">
      <alignment vertical="center"/>
    </xf>
    <xf numFmtId="197" fontId="7" fillId="3" borderId="0" xfId="0" applyNumberFormat="1" applyFont="1" applyFill="1" applyBorder="1" applyAlignment="1" applyProtection="1">
      <alignment vertical="center"/>
    </xf>
    <xf numFmtId="174" fontId="22" fillId="3" borderId="0" xfId="0" applyNumberFormat="1" applyFont="1" applyFill="1" applyBorder="1" applyAlignment="1" applyProtection="1">
      <alignment vertical="center"/>
    </xf>
    <xf numFmtId="194" fontId="58" fillId="3" borderId="15" xfId="0" applyNumberFormat="1" applyFont="1" applyFill="1" applyBorder="1" applyAlignment="1" applyProtection="1">
      <alignment vertical="center"/>
    </xf>
    <xf numFmtId="174" fontId="7" fillId="3" borderId="0" xfId="0" applyNumberFormat="1" applyFont="1" applyFill="1" applyBorder="1" applyProtection="1"/>
    <xf numFmtId="174" fontId="7" fillId="3" borderId="9" xfId="0" applyNumberFormat="1" applyFont="1" applyFill="1" applyBorder="1" applyProtection="1"/>
    <xf numFmtId="173" fontId="7" fillId="3" borderId="0" xfId="0" applyNumberFormat="1" applyFont="1" applyFill="1" applyBorder="1" applyProtection="1"/>
    <xf numFmtId="173" fontId="7" fillId="3" borderId="9" xfId="0" applyNumberFormat="1" applyFont="1" applyFill="1" applyBorder="1" applyProtection="1"/>
    <xf numFmtId="173" fontId="7" fillId="3" borderId="1" xfId="0" applyNumberFormat="1" applyFont="1" applyFill="1" applyBorder="1" applyProtection="1"/>
    <xf numFmtId="173" fontId="7" fillId="3" borderId="11" xfId="0" applyNumberFormat="1" applyFont="1" applyFill="1" applyBorder="1" applyProtection="1"/>
    <xf numFmtId="164" fontId="18" fillId="3" borderId="0" xfId="4" applyNumberFormat="1" applyFont="1" applyFill="1" applyBorder="1"/>
    <xf numFmtId="200" fontId="63" fillId="3" borderId="0" xfId="0" applyNumberFormat="1" applyFont="1" applyFill="1" applyBorder="1"/>
    <xf numFmtId="197" fontId="18" fillId="3" borderId="0" xfId="0" applyNumberFormat="1" applyFont="1" applyFill="1" applyBorder="1" applyAlignment="1">
      <alignment vertical="center"/>
    </xf>
    <xf numFmtId="200" fontId="18" fillId="3" borderId="0" xfId="0" applyNumberFormat="1" applyFont="1" applyFill="1" applyBorder="1"/>
    <xf numFmtId="173" fontId="21" fillId="4" borderId="14" xfId="0" applyNumberFormat="1" applyFont="1" applyFill="1" applyBorder="1" applyProtection="1"/>
    <xf numFmtId="173" fontId="7" fillId="4" borderId="0" xfId="0" applyNumberFormat="1" applyFont="1" applyFill="1" applyBorder="1" applyProtection="1"/>
    <xf numFmtId="173" fontId="7" fillId="4" borderId="1" xfId="0" applyNumberFormat="1" applyFont="1" applyFill="1" applyBorder="1" applyProtection="1"/>
    <xf numFmtId="173" fontId="43" fillId="4" borderId="0" xfId="0" applyNumberFormat="1" applyFont="1" applyFill="1" applyBorder="1" applyProtection="1"/>
    <xf numFmtId="166" fontId="43" fillId="4" borderId="0" xfId="0" applyNumberFormat="1" applyFont="1" applyFill="1" applyProtection="1"/>
    <xf numFmtId="166" fontId="7" fillId="4" borderId="0" xfId="0" applyNumberFormat="1" applyFont="1" applyFill="1" applyProtection="1"/>
    <xf numFmtId="186" fontId="43" fillId="4" borderId="0" xfId="0" applyNumberFormat="1" applyFont="1" applyFill="1" applyProtection="1"/>
    <xf numFmtId="173" fontId="7" fillId="4" borderId="0" xfId="0" applyNumberFormat="1" applyFont="1" applyFill="1" applyProtection="1"/>
    <xf numFmtId="174" fontId="21" fillId="4" borderId="0" xfId="0" applyNumberFormat="1" applyFont="1" applyFill="1" applyBorder="1" applyProtection="1"/>
    <xf numFmtId="174" fontId="7" fillId="4" borderId="0" xfId="0" applyNumberFormat="1" applyFont="1" applyFill="1" applyBorder="1" applyProtection="1"/>
    <xf numFmtId="173" fontId="43" fillId="4" borderId="1" xfId="0" applyNumberFormat="1" applyFont="1" applyFill="1" applyBorder="1" applyProtection="1"/>
    <xf numFmtId="174" fontId="21" fillId="4" borderId="14" xfId="0" applyNumberFormat="1" applyFont="1" applyFill="1" applyBorder="1" applyProtection="1"/>
    <xf numFmtId="174" fontId="21" fillId="4" borderId="25" xfId="0" applyNumberFormat="1" applyFont="1" applyFill="1" applyBorder="1" applyProtection="1"/>
    <xf numFmtId="173" fontId="7" fillId="4" borderId="0" xfId="4" applyNumberFormat="1" applyFont="1" applyFill="1" applyProtection="1"/>
    <xf numFmtId="173" fontId="7" fillId="4" borderId="1" xfId="4" applyNumberFormat="1" applyFont="1" applyFill="1" applyBorder="1" applyProtection="1"/>
    <xf numFmtId="186" fontId="43" fillId="4" borderId="1" xfId="0" applyNumberFormat="1" applyFont="1" applyFill="1" applyBorder="1" applyProtection="1"/>
    <xf numFmtId="174" fontId="21" fillId="4" borderId="25" xfId="4" applyNumberFormat="1" applyFont="1" applyFill="1" applyBorder="1" applyProtection="1"/>
    <xf numFmtId="173" fontId="7" fillId="4" borderId="0" xfId="4" applyNumberFormat="1" applyFont="1" applyFill="1" applyBorder="1" applyProtection="1"/>
    <xf numFmtId="173" fontId="21" fillId="4" borderId="0" xfId="4" applyNumberFormat="1" applyFont="1" applyFill="1" applyBorder="1" applyProtection="1"/>
    <xf numFmtId="173" fontId="21" fillId="4" borderId="0" xfId="4" applyNumberFormat="1" applyFont="1" applyFill="1" applyProtection="1"/>
    <xf numFmtId="173" fontId="21" fillId="4" borderId="6" xfId="4" applyNumberFormat="1" applyFont="1" applyFill="1" applyBorder="1" applyProtection="1"/>
    <xf numFmtId="166" fontId="21" fillId="4" borderId="0" xfId="0" applyNumberFormat="1" applyFont="1" applyFill="1" applyBorder="1" applyProtection="1"/>
    <xf numFmtId="169" fontId="65" fillId="0" borderId="0" xfId="4" applyNumberFormat="1" applyFont="1" applyProtection="1"/>
    <xf numFmtId="169" fontId="66" fillId="0" borderId="0" xfId="4" applyNumberFormat="1" applyFont="1" applyProtection="1"/>
    <xf numFmtId="169" fontId="65" fillId="0" borderId="0" xfId="4" applyNumberFormat="1" applyFont="1" applyFill="1" applyProtection="1"/>
    <xf numFmtId="186" fontId="66" fillId="0" borderId="1" xfId="0" applyNumberFormat="1" applyFont="1" applyBorder="1" applyProtection="1"/>
    <xf numFmtId="186" fontId="66" fillId="0" borderId="0" xfId="0" applyNumberFormat="1" applyFont="1" applyProtection="1"/>
    <xf numFmtId="169" fontId="66" fillId="0" borderId="1" xfId="4" applyNumberFormat="1" applyFont="1" applyBorder="1" applyProtection="1"/>
    <xf numFmtId="176" fontId="66" fillId="0" borderId="0" xfId="4" applyNumberFormat="1" applyFont="1" applyProtection="1"/>
    <xf numFmtId="174" fontId="65" fillId="0" borderId="6" xfId="4" applyNumberFormat="1" applyFont="1" applyBorder="1" applyProtection="1"/>
    <xf numFmtId="173" fontId="65" fillId="0" borderId="0" xfId="4" applyNumberFormat="1" applyFont="1" applyBorder="1" applyProtection="1"/>
    <xf numFmtId="173" fontId="66" fillId="0" borderId="0" xfId="4" applyNumberFormat="1" applyFont="1" applyBorder="1" applyProtection="1"/>
    <xf numFmtId="173" fontId="66" fillId="0" borderId="1" xfId="4" applyNumberFormat="1" applyFont="1" applyBorder="1" applyProtection="1"/>
    <xf numFmtId="174" fontId="65" fillId="0" borderId="25" xfId="4" applyNumberFormat="1" applyFont="1" applyBorder="1" applyProtection="1"/>
    <xf numFmtId="173" fontId="66" fillId="0" borderId="0" xfId="4" applyNumberFormat="1" applyFont="1" applyBorder="1" applyAlignment="1" applyProtection="1">
      <alignment horizontal="right"/>
    </xf>
    <xf numFmtId="173" fontId="66" fillId="0" borderId="1" xfId="4" applyNumberFormat="1" applyFont="1" applyBorder="1" applyAlignment="1" applyProtection="1">
      <alignment horizontal="right"/>
    </xf>
    <xf numFmtId="173" fontId="65" fillId="0" borderId="0" xfId="4" applyNumberFormat="1" applyFont="1" applyBorder="1" applyAlignment="1" applyProtection="1">
      <alignment horizontal="right"/>
    </xf>
    <xf numFmtId="173" fontId="66" fillId="0" borderId="1" xfId="4" applyNumberFormat="1" applyFont="1" applyFill="1" applyBorder="1" applyProtection="1"/>
    <xf numFmtId="173" fontId="66" fillId="0" borderId="0" xfId="0" applyNumberFormat="1" applyFont="1" applyProtection="1"/>
    <xf numFmtId="174" fontId="65" fillId="0" borderId="25" xfId="0" applyNumberFormat="1" applyFont="1" applyBorder="1" applyProtection="1"/>
    <xf numFmtId="166" fontId="65" fillId="0" borderId="0" xfId="0" applyNumberFormat="1" applyFont="1" applyBorder="1" applyProtection="1"/>
    <xf numFmtId="173" fontId="66" fillId="0" borderId="0" xfId="4" applyNumberFormat="1" applyFont="1" applyProtection="1"/>
    <xf numFmtId="173" fontId="66" fillId="0" borderId="0" xfId="4" applyNumberFormat="1" applyFont="1" applyFill="1" applyProtection="1"/>
    <xf numFmtId="173" fontId="65" fillId="0" borderId="0" xfId="4" applyNumberFormat="1" applyFont="1" applyProtection="1"/>
    <xf numFmtId="200" fontId="67" fillId="0" borderId="0" xfId="0" applyNumberFormat="1" applyFont="1" applyBorder="1" applyProtection="1"/>
    <xf numFmtId="200" fontId="67" fillId="0" borderId="1" xfId="0" applyNumberFormat="1" applyFont="1" applyBorder="1" applyProtection="1"/>
    <xf numFmtId="173" fontId="65" fillId="0" borderId="6" xfId="4" applyNumberFormat="1" applyFont="1" applyBorder="1" applyProtection="1"/>
    <xf numFmtId="174" fontId="65" fillId="0" borderId="25" xfId="0" applyNumberFormat="1" applyFont="1" applyBorder="1" applyAlignment="1" applyProtection="1">
      <alignment vertical="center"/>
    </xf>
    <xf numFmtId="0" fontId="37" fillId="5" borderId="0" xfId="0" quotePrefix="1" applyFont="1" applyFill="1" applyAlignment="1" applyProtection="1">
      <alignment horizontal="right" vertical="center"/>
    </xf>
    <xf numFmtId="168" fontId="43" fillId="5" borderId="17" xfId="4" applyNumberFormat="1" applyFont="1" applyFill="1" applyBorder="1" applyProtection="1"/>
    <xf numFmtId="171" fontId="43" fillId="5" borderId="22" xfId="0" applyNumberFormat="1" applyFont="1" applyFill="1" applyBorder="1" applyProtection="1"/>
    <xf numFmtId="169" fontId="43" fillId="5" borderId="0" xfId="4" applyNumberFormat="1" applyFont="1" applyFill="1" applyProtection="1"/>
    <xf numFmtId="169" fontId="7" fillId="5" borderId="1" xfId="4" applyNumberFormat="1" applyFont="1" applyFill="1" applyBorder="1" applyProtection="1"/>
    <xf numFmtId="169" fontId="21" fillId="5" borderId="0" xfId="4" applyNumberFormat="1" applyFont="1" applyFill="1" applyProtection="1"/>
    <xf numFmtId="169" fontId="7" fillId="5" borderId="0" xfId="4" applyNumberFormat="1" applyFont="1" applyFill="1" applyProtection="1"/>
    <xf numFmtId="169" fontId="43" fillId="5" borderId="1" xfId="4" applyNumberFormat="1" applyFont="1" applyFill="1" applyBorder="1" applyProtection="1"/>
    <xf numFmtId="171" fontId="46" fillId="5" borderId="0" xfId="0" applyNumberFormat="1" applyFont="1" applyFill="1" applyBorder="1" applyProtection="1"/>
    <xf numFmtId="169" fontId="7" fillId="5" borderId="1" xfId="4" applyNumberFormat="1" applyFont="1" applyFill="1" applyBorder="1"/>
    <xf numFmtId="186" fontId="43" fillId="5" borderId="0" xfId="0" applyNumberFormat="1" applyFont="1" applyFill="1" applyProtection="1"/>
    <xf numFmtId="186" fontId="7" fillId="5" borderId="1" xfId="0" applyNumberFormat="1" applyFont="1" applyFill="1" applyBorder="1" applyProtection="1"/>
    <xf numFmtId="186" fontId="7" fillId="5" borderId="0" xfId="0" applyNumberFormat="1" applyFont="1" applyFill="1" applyProtection="1"/>
    <xf numFmtId="176" fontId="7" fillId="5" borderId="0" xfId="4" applyNumberFormat="1" applyFont="1" applyFill="1" applyProtection="1"/>
    <xf numFmtId="174" fontId="21" fillId="5" borderId="6" xfId="4" applyNumberFormat="1" applyFont="1" applyFill="1" applyBorder="1" applyProtection="1"/>
    <xf numFmtId="173" fontId="43" fillId="5" borderId="0" xfId="4" applyNumberFormat="1" applyFont="1" applyFill="1" applyBorder="1" applyProtection="1"/>
    <xf numFmtId="173" fontId="7" fillId="5" borderId="0" xfId="4" applyNumberFormat="1" applyFont="1" applyFill="1" applyBorder="1" applyProtection="1"/>
    <xf numFmtId="173" fontId="43" fillId="5" borderId="1" xfId="4" applyNumberFormat="1" applyFont="1" applyFill="1" applyBorder="1" applyProtection="1"/>
    <xf numFmtId="173" fontId="7" fillId="5" borderId="1" xfId="4" applyNumberFormat="1" applyFont="1" applyFill="1" applyBorder="1" applyProtection="1"/>
    <xf numFmtId="173" fontId="21" fillId="5" borderId="0" xfId="4" applyNumberFormat="1" applyFont="1" applyFill="1" applyBorder="1" applyProtection="1"/>
    <xf numFmtId="174" fontId="21" fillId="5" borderId="25" xfId="4" applyNumberFormat="1" applyFont="1" applyFill="1" applyBorder="1" applyProtection="1"/>
    <xf numFmtId="173" fontId="7" fillId="5" borderId="0" xfId="4" applyNumberFormat="1" applyFont="1" applyFill="1" applyBorder="1" applyAlignment="1" applyProtection="1">
      <alignment horizontal="right"/>
    </xf>
    <xf numFmtId="173" fontId="7" fillId="5" borderId="1" xfId="4" applyNumberFormat="1" applyFont="1" applyFill="1" applyBorder="1" applyAlignment="1" applyProtection="1">
      <alignment horizontal="right"/>
    </xf>
    <xf numFmtId="173" fontId="21" fillId="5" borderId="0" xfId="4" applyNumberFormat="1" applyFont="1" applyFill="1" applyBorder="1" applyAlignment="1" applyProtection="1">
      <alignment horizontal="right"/>
    </xf>
    <xf numFmtId="173" fontId="43" fillId="5" borderId="1" xfId="4" applyNumberFormat="1" applyFont="1" applyFill="1" applyBorder="1" applyAlignment="1" applyProtection="1">
      <alignment horizontal="right"/>
    </xf>
    <xf numFmtId="173" fontId="7" fillId="5" borderId="0" xfId="0" applyNumberFormat="1" applyFont="1" applyFill="1" applyProtection="1"/>
    <xf numFmtId="174" fontId="21" fillId="5" borderId="25" xfId="0" applyNumberFormat="1" applyFont="1" applyFill="1" applyBorder="1" applyProtection="1"/>
    <xf numFmtId="200" fontId="22" fillId="5" borderId="0" xfId="0" applyNumberFormat="1" applyFont="1" applyFill="1" applyBorder="1" applyProtection="1"/>
    <xf numFmtId="200" fontId="22" fillId="5" borderId="1" xfId="0" applyNumberFormat="1" applyFont="1" applyFill="1" applyBorder="1" applyProtection="1"/>
    <xf numFmtId="173" fontId="7" fillId="5" borderId="0" xfId="4" applyNumberFormat="1" applyFont="1" applyFill="1" applyProtection="1"/>
    <xf numFmtId="173" fontId="21" fillId="5" borderId="0" xfId="4" applyNumberFormat="1" applyFont="1" applyFill="1" applyProtection="1"/>
    <xf numFmtId="173" fontId="7" fillId="5" borderId="6" xfId="4" applyNumberFormat="1" applyFont="1" applyFill="1" applyBorder="1" applyProtection="1"/>
    <xf numFmtId="173" fontId="26" fillId="5" borderId="0" xfId="4" applyNumberFormat="1" applyFont="1" applyFill="1" applyBorder="1" applyProtection="1"/>
    <xf numFmtId="174" fontId="7" fillId="5" borderId="0" xfId="0" applyNumberFormat="1" applyFont="1" applyFill="1" applyProtection="1"/>
    <xf numFmtId="185" fontId="43" fillId="5" borderId="7" xfId="0" applyNumberFormat="1" applyFont="1" applyFill="1" applyBorder="1" applyAlignment="1" applyProtection="1">
      <alignment vertical="center"/>
    </xf>
    <xf numFmtId="185" fontId="43" fillId="5" borderId="11" xfId="0" applyNumberFormat="1" applyFont="1" applyFill="1" applyBorder="1" applyAlignment="1" applyProtection="1">
      <alignment vertical="center"/>
    </xf>
    <xf numFmtId="173" fontId="55" fillId="5" borderId="0" xfId="0" applyNumberFormat="1" applyFont="1" applyFill="1" applyProtection="1"/>
    <xf numFmtId="174" fontId="21" fillId="5" borderId="25" xfId="0" applyNumberFormat="1" applyFont="1" applyFill="1" applyBorder="1" applyAlignment="1" applyProtection="1">
      <alignment vertical="center"/>
    </xf>
    <xf numFmtId="174" fontId="7" fillId="5" borderId="24" xfId="0" applyNumberFormat="1" applyFont="1" applyFill="1" applyBorder="1" applyProtection="1"/>
    <xf numFmtId="171" fontId="58" fillId="5" borderId="15" xfId="0" applyNumberFormat="1" applyFont="1" applyFill="1" applyBorder="1" applyProtection="1"/>
    <xf numFmtId="174" fontId="36" fillId="5" borderId="0" xfId="0" applyNumberFormat="1" applyFont="1" applyFill="1" applyProtection="1"/>
    <xf numFmtId="173" fontId="55" fillId="5" borderId="1" xfId="0" applyNumberFormat="1" applyFont="1" applyFill="1" applyBorder="1" applyProtection="1"/>
    <xf numFmtId="173" fontId="36" fillId="5" borderId="0" xfId="0" applyNumberFormat="1" applyFont="1" applyFill="1" applyProtection="1"/>
    <xf numFmtId="173" fontId="43" fillId="5" borderId="0" xfId="0" quotePrefix="1" applyNumberFormat="1" applyFont="1" applyFill="1" applyBorder="1" applyAlignment="1" applyProtection="1">
      <alignment horizontal="right"/>
    </xf>
    <xf numFmtId="173" fontId="7" fillId="5" borderId="0" xfId="0" quotePrefix="1" applyNumberFormat="1" applyFont="1" applyFill="1" applyBorder="1" applyAlignment="1" applyProtection="1">
      <alignment horizontal="right"/>
    </xf>
    <xf numFmtId="171" fontId="43" fillId="5" borderId="4" xfId="0" applyNumberFormat="1" applyFont="1" applyFill="1" applyBorder="1" applyProtection="1"/>
    <xf numFmtId="173" fontId="55" fillId="5" borderId="0" xfId="0" applyNumberFormat="1" applyFont="1" applyFill="1" applyBorder="1" applyProtection="1"/>
    <xf numFmtId="173" fontId="36" fillId="5" borderId="1" xfId="0" applyNumberFormat="1" applyFont="1" applyFill="1" applyBorder="1" applyProtection="1"/>
    <xf numFmtId="173" fontId="43" fillId="5" borderId="0" xfId="0" applyNumberFormat="1" applyFont="1" applyFill="1" applyProtection="1"/>
    <xf numFmtId="185" fontId="7" fillId="5" borderId="27" xfId="0" applyNumberFormat="1" applyFont="1" applyFill="1" applyBorder="1" applyProtection="1"/>
    <xf numFmtId="176" fontId="7" fillId="5" borderId="1" xfId="4" applyNumberFormat="1" applyFont="1" applyFill="1" applyBorder="1" applyProtection="1"/>
    <xf numFmtId="176" fontId="21" fillId="5" borderId="0" xfId="0" applyNumberFormat="1" applyFont="1" applyFill="1" applyProtection="1"/>
    <xf numFmtId="176" fontId="18" fillId="6" borderId="0" xfId="0" applyNumberFormat="1" applyFont="1" applyFill="1" applyBorder="1" applyProtection="1"/>
    <xf numFmtId="176" fontId="18" fillId="6" borderId="9" xfId="0" applyNumberFormat="1" applyFont="1" applyFill="1" applyBorder="1" applyProtection="1"/>
    <xf numFmtId="174" fontId="18" fillId="6" borderId="0" xfId="0" applyNumberFormat="1" applyFont="1" applyFill="1" applyBorder="1" applyProtection="1"/>
    <xf numFmtId="174" fontId="18" fillId="6" borderId="9" xfId="0" applyNumberFormat="1" applyFont="1" applyFill="1" applyBorder="1" applyProtection="1"/>
    <xf numFmtId="174" fontId="36" fillId="0" borderId="0" xfId="0" applyNumberFormat="1" applyFont="1" applyFill="1" applyProtection="1"/>
    <xf numFmtId="187" fontId="9" fillId="6" borderId="0" xfId="0" applyNumberFormat="1" applyFont="1" applyFill="1" applyBorder="1" applyAlignment="1">
      <alignment horizontal="left"/>
    </xf>
    <xf numFmtId="0" fontId="10" fillId="6" borderId="0" xfId="0" applyFont="1" applyFill="1" applyBorder="1"/>
    <xf numFmtId="171" fontId="67" fillId="0" borderId="0" xfId="0" applyNumberFormat="1" applyFont="1" applyBorder="1" applyProtection="1"/>
    <xf numFmtId="188" fontId="18" fillId="0" borderId="0" xfId="0" quotePrefix="1" applyNumberFormat="1" applyFont="1" applyFill="1" applyBorder="1" applyAlignment="1" applyProtection="1">
      <alignment horizontal="centerContinuous"/>
    </xf>
    <xf numFmtId="188" fontId="18" fillId="0" borderId="1" xfId="0" quotePrefix="1" applyNumberFormat="1" applyFont="1" applyFill="1" applyBorder="1" applyAlignment="1" applyProtection="1">
      <alignment horizontal="centerContinuous"/>
    </xf>
    <xf numFmtId="205" fontId="18" fillId="0" borderId="9" xfId="0" applyNumberFormat="1" applyFont="1" applyFill="1" applyBorder="1" applyAlignment="1" applyProtection="1">
      <alignment horizontal="right"/>
    </xf>
    <xf numFmtId="0" fontId="13" fillId="0" borderId="0" xfId="0" applyFont="1" applyFill="1" applyAlignment="1" applyProtection="1">
      <alignment horizontal="centerContinuous"/>
    </xf>
    <xf numFmtId="171" fontId="18" fillId="0" borderId="9" xfId="0" applyNumberFormat="1" applyFont="1" applyFill="1" applyBorder="1" applyAlignment="1" applyProtection="1">
      <alignment horizontal="right"/>
    </xf>
    <xf numFmtId="206" fontId="18" fillId="0" borderId="9" xfId="0" applyNumberFormat="1" applyFont="1" applyFill="1" applyBorder="1" applyAlignment="1" applyProtection="1">
      <alignment vertical="center"/>
    </xf>
    <xf numFmtId="207" fontId="18" fillId="0" borderId="9" xfId="0" applyNumberFormat="1" applyFont="1" applyFill="1" applyBorder="1" applyAlignment="1" applyProtection="1">
      <alignment vertical="center"/>
    </xf>
    <xf numFmtId="208" fontId="18" fillId="0" borderId="11" xfId="0" applyNumberFormat="1" applyFont="1" applyFill="1" applyBorder="1" applyAlignment="1" applyProtection="1">
      <alignment vertical="center"/>
    </xf>
    <xf numFmtId="166" fontId="18" fillId="0" borderId="7" xfId="0" applyNumberFormat="1" applyFont="1" applyFill="1" applyBorder="1" applyAlignment="1" applyProtection="1">
      <alignment horizontal="right"/>
    </xf>
    <xf numFmtId="166" fontId="18" fillId="0" borderId="9" xfId="0" applyNumberFormat="1" applyFont="1" applyFill="1" applyBorder="1" applyAlignment="1" applyProtection="1">
      <alignment horizontal="right"/>
    </xf>
    <xf numFmtId="171" fontId="18" fillId="0" borderId="9" xfId="0" quotePrefix="1" applyNumberFormat="1" applyFont="1" applyFill="1" applyBorder="1" applyAlignment="1" applyProtection="1">
      <alignment horizontal="right"/>
    </xf>
    <xf numFmtId="39" fontId="18" fillId="0" borderId="9" xfId="0" applyNumberFormat="1" applyFont="1" applyFill="1" applyBorder="1" applyAlignment="1" applyProtection="1">
      <alignment horizontal="right"/>
    </xf>
    <xf numFmtId="171" fontId="18" fillId="0" borderId="11" xfId="0" quotePrefix="1" applyNumberFormat="1" applyFont="1" applyFill="1" applyBorder="1" applyAlignment="1" applyProtection="1">
      <alignment horizontal="right"/>
    </xf>
    <xf numFmtId="37" fontId="18" fillId="0" borderId="9" xfId="0" applyNumberFormat="1" applyFont="1" applyFill="1" applyBorder="1" applyAlignment="1" applyProtection="1">
      <alignment horizontal="right"/>
    </xf>
    <xf numFmtId="37" fontId="18" fillId="0" borderId="11" xfId="0" applyNumberFormat="1" applyFont="1" applyFill="1" applyBorder="1" applyAlignment="1" applyProtection="1">
      <alignment horizontal="right"/>
    </xf>
    <xf numFmtId="174" fontId="18" fillId="0" borderId="9" xfId="0" applyNumberFormat="1" applyFont="1" applyFill="1" applyBorder="1" applyAlignment="1" applyProtection="1">
      <alignment horizontal="right"/>
    </xf>
    <xf numFmtId="174" fontId="18" fillId="0" borderId="11" xfId="0" applyNumberFormat="1" applyFont="1" applyFill="1" applyBorder="1" applyAlignment="1" applyProtection="1">
      <alignment horizontal="right"/>
    </xf>
    <xf numFmtId="189" fontId="18" fillId="0" borderId="0" xfId="0" applyNumberFormat="1" applyFont="1" applyFill="1" applyBorder="1" applyAlignment="1" applyProtection="1"/>
    <xf numFmtId="189" fontId="18" fillId="0" borderId="1" xfId="0" applyNumberFormat="1" applyFont="1" applyFill="1" applyBorder="1" applyAlignment="1" applyProtection="1"/>
    <xf numFmtId="0" fontId="18" fillId="0" borderId="0" xfId="0" applyFont="1" applyFill="1" applyBorder="1" applyAlignment="1" applyProtection="1">
      <alignment horizontal="left"/>
    </xf>
    <xf numFmtId="176" fontId="18" fillId="0" borderId="0" xfId="0" applyNumberFormat="1" applyFont="1" applyFill="1" applyBorder="1" applyProtection="1"/>
    <xf numFmtId="171" fontId="34" fillId="0" borderId="16" xfId="0" applyNumberFormat="1" applyFont="1" applyFill="1" applyBorder="1" applyProtection="1"/>
    <xf numFmtId="171" fontId="34" fillId="0" borderId="17" xfId="0" applyNumberFormat="1" applyFont="1" applyFill="1" applyBorder="1" applyProtection="1"/>
    <xf numFmtId="171" fontId="34" fillId="0" borderId="18" xfId="0" applyNumberFormat="1" applyFont="1" applyFill="1" applyBorder="1" applyProtection="1"/>
    <xf numFmtId="171" fontId="34" fillId="0" borderId="19" xfId="0" applyNumberFormat="1" applyFont="1" applyFill="1" applyBorder="1" applyProtection="1"/>
    <xf numFmtId="171" fontId="34" fillId="0" borderId="0" xfId="0" applyNumberFormat="1" applyFont="1" applyFill="1" applyBorder="1" applyProtection="1"/>
    <xf numFmtId="171" fontId="34" fillId="0" borderId="20" xfId="0" applyNumberFormat="1" applyFont="1" applyFill="1" applyBorder="1" applyProtection="1"/>
    <xf numFmtId="171" fontId="34" fillId="0" borderId="21" xfId="0" applyNumberFormat="1" applyFont="1" applyFill="1" applyBorder="1" applyProtection="1"/>
    <xf numFmtId="171" fontId="34" fillId="0" borderId="22" xfId="0" applyNumberFormat="1" applyFont="1" applyFill="1" applyBorder="1" applyProtection="1"/>
    <xf numFmtId="171" fontId="34" fillId="0" borderId="23" xfId="0" applyNumberFormat="1" applyFont="1" applyFill="1" applyBorder="1" applyProtection="1"/>
    <xf numFmtId="171" fontId="21" fillId="0" borderId="13" xfId="0" applyNumberFormat="1" applyFont="1" applyFill="1" applyBorder="1" applyAlignment="1" applyProtection="1">
      <alignment vertical="center"/>
    </xf>
    <xf numFmtId="171" fontId="21" fillId="0" borderId="14" xfId="0" applyNumberFormat="1" applyFont="1" applyFill="1" applyBorder="1" applyAlignment="1" applyProtection="1">
      <alignment vertical="center"/>
    </xf>
    <xf numFmtId="171" fontId="21" fillId="0" borderId="15" xfId="0" applyNumberFormat="1" applyFont="1" applyFill="1" applyBorder="1" applyAlignment="1" applyProtection="1">
      <alignment vertical="center"/>
    </xf>
    <xf numFmtId="171" fontId="18" fillId="0" borderId="0" xfId="0" applyNumberFormat="1" applyFont="1" applyFill="1" applyBorder="1" applyProtection="1"/>
    <xf numFmtId="171" fontId="7" fillId="0" borderId="0" xfId="0" applyNumberFormat="1" applyFont="1" applyFill="1" applyBorder="1" applyProtection="1"/>
    <xf numFmtId="0" fontId="7" fillId="0" borderId="0" xfId="7" applyFont="1" applyFill="1" applyProtection="1"/>
    <xf numFmtId="176" fontId="34" fillId="0" borderId="5" xfId="4" applyNumberFormat="1" applyFont="1" applyFill="1" applyBorder="1" applyProtection="1"/>
    <xf numFmtId="176" fontId="34" fillId="0" borderId="6" xfId="4" applyNumberFormat="1" applyFont="1" applyFill="1" applyBorder="1" applyProtection="1"/>
    <xf numFmtId="176" fontId="34" fillId="0" borderId="7" xfId="0" applyNumberFormat="1" applyFont="1" applyFill="1" applyBorder="1" applyProtection="1"/>
    <xf numFmtId="176" fontId="23" fillId="0" borderId="8" xfId="4" applyNumberFormat="1" applyFont="1" applyFill="1" applyBorder="1" applyProtection="1"/>
    <xf numFmtId="176" fontId="23" fillId="0" borderId="19" xfId="4" applyNumberFormat="1" applyFont="1" applyFill="1" applyBorder="1" applyProtection="1"/>
    <xf numFmtId="176" fontId="23" fillId="0" borderId="29" xfId="4" applyNumberFormat="1" applyFont="1" applyFill="1" applyBorder="1" applyProtection="1"/>
    <xf numFmtId="176" fontId="23" fillId="0" borderId="10" xfId="4" applyNumberFormat="1" applyFont="1" applyFill="1" applyBorder="1" applyProtection="1"/>
    <xf numFmtId="176" fontId="23" fillId="0" borderId="30" xfId="4" applyNumberFormat="1" applyFont="1" applyFill="1" applyBorder="1" applyProtection="1"/>
    <xf numFmtId="176" fontId="23" fillId="0" borderId="31" xfId="4" applyNumberFormat="1" applyFont="1" applyFill="1" applyBorder="1" applyProtection="1"/>
    <xf numFmtId="0" fontId="7" fillId="0" borderId="0" xfId="7" applyFont="1" applyFill="1" applyAlignment="1" applyProtection="1">
      <alignment horizontal="left"/>
    </xf>
    <xf numFmtId="168" fontId="21" fillId="0" borderId="13" xfId="4" applyFont="1" applyFill="1" applyBorder="1" applyAlignment="1" applyProtection="1">
      <alignment vertical="center"/>
    </xf>
    <xf numFmtId="168" fontId="21" fillId="0" borderId="14" xfId="4" applyFont="1" applyFill="1" applyBorder="1" applyAlignment="1" applyProtection="1">
      <alignment vertical="center"/>
    </xf>
    <xf numFmtId="168" fontId="21" fillId="0" borderId="15" xfId="4" applyFont="1" applyFill="1" applyBorder="1" applyAlignment="1" applyProtection="1">
      <alignment vertical="center"/>
    </xf>
    <xf numFmtId="185" fontId="36" fillId="0" borderId="0" xfId="0" applyNumberFormat="1" applyFont="1" applyFill="1" applyBorder="1" applyProtection="1"/>
    <xf numFmtId="176" fontId="34" fillId="0" borderId="16" xfId="4" applyNumberFormat="1" applyFont="1" applyFill="1" applyBorder="1" applyProtection="1"/>
    <xf numFmtId="176" fontId="34" fillId="0" borderId="17" xfId="4" applyNumberFormat="1" applyFont="1" applyFill="1" applyBorder="1" applyProtection="1"/>
    <xf numFmtId="176" fontId="34" fillId="0" borderId="18" xfId="0" applyNumberFormat="1" applyFont="1" applyFill="1" applyBorder="1" applyProtection="1"/>
    <xf numFmtId="171" fontId="34" fillId="0" borderId="13" xfId="0" applyNumberFormat="1" applyFont="1" applyFill="1" applyBorder="1" applyProtection="1"/>
    <xf numFmtId="171" fontId="34" fillId="0" borderId="14" xfId="0" applyNumberFormat="1" applyFont="1" applyFill="1" applyBorder="1" applyProtection="1"/>
    <xf numFmtId="171" fontId="34" fillId="0" borderId="15" xfId="0" applyNumberFormat="1" applyFont="1" applyFill="1" applyBorder="1" applyProtection="1"/>
    <xf numFmtId="174" fontId="7" fillId="5" borderId="4" xfId="0" applyNumberFormat="1" applyFont="1" applyFill="1" applyBorder="1" applyProtection="1"/>
    <xf numFmtId="173" fontId="55" fillId="0" borderId="0" xfId="0" applyNumberFormat="1" applyFont="1" applyFill="1" applyProtection="1"/>
    <xf numFmtId="0" fontId="7" fillId="0" borderId="5" xfId="0" applyFont="1" applyBorder="1" applyAlignment="1" applyProtection="1">
      <alignment vertical="center"/>
    </xf>
  </cellXfs>
  <cellStyles count="13">
    <cellStyle name="Across" xfId="1"/>
    <cellStyle name="Bottom" xfId="2"/>
    <cellStyle name="Center" xfId="3"/>
    <cellStyle name="Comma" xfId="4" builtinId="3"/>
    <cellStyle name="Currency [2]" xfId="5"/>
    <cellStyle name="Double" xfId="6"/>
    <cellStyle name="Normal" xfId="0" builtinId="0"/>
    <cellStyle name="Normal_DrydenNewDCF3" xfId="12"/>
    <cellStyle name="Normal_TrainingDCF1" xfId="7"/>
    <cellStyle name="Numbers" xfId="8"/>
    <cellStyle name="Numbers - Bold - Italic" xfId="9"/>
    <cellStyle name="Outline" xfId="10"/>
    <cellStyle name="Percent" xfId="11" builtinId="5"/>
  </cellStyles>
  <dxfs count="14">
    <dxf>
      <font>
        <b/>
        <i val="0"/>
      </font>
      <fill>
        <patternFill>
          <bgColor rgb="FFFF0000"/>
        </patternFill>
      </fill>
    </dxf>
    <dxf>
      <font>
        <b/>
        <i val="0"/>
      </font>
      <fill>
        <patternFill>
          <bgColor rgb="FFFF0000"/>
        </patternFill>
      </fill>
    </dxf>
    <dxf>
      <font>
        <b/>
        <i val="0"/>
      </font>
      <fill>
        <patternFill>
          <fgColor rgb="FFFF0000"/>
          <bgColor rgb="FFFF0000"/>
        </patternFill>
      </fill>
    </dxf>
    <dxf>
      <font>
        <b/>
        <i val="0"/>
      </font>
      <fill>
        <patternFill patternType="solid">
          <fgColor rgb="FFFF0000"/>
          <bgColor rgb="FFFF0000"/>
        </patternFill>
      </fill>
    </dxf>
    <dxf>
      <font>
        <b/>
        <i val="0"/>
        <condense val="0"/>
        <extend val="0"/>
      </font>
      <fill>
        <patternFill>
          <bgColor indexed="44"/>
        </patternFill>
      </fill>
    </dxf>
    <dxf>
      <font>
        <b/>
        <i val="0"/>
        <condense val="0"/>
        <extend val="0"/>
      </font>
      <fill>
        <patternFill>
          <bgColor indexed="44"/>
        </patternFill>
      </fill>
    </dxf>
    <dxf>
      <font>
        <b/>
        <i val="0"/>
      </font>
      <fill>
        <patternFill>
          <bgColor rgb="FFFF0000"/>
        </patternFill>
      </fill>
    </dxf>
    <dxf>
      <font>
        <b/>
        <i val="0"/>
      </font>
      <fill>
        <patternFill>
          <bgColor rgb="FFFF0000"/>
        </patternFill>
      </fill>
    </dxf>
    <dxf>
      <font>
        <b/>
        <i val="0"/>
      </font>
      <fill>
        <patternFill>
          <fgColor rgb="FFFF0000"/>
          <bgColor rgb="FFFF0000"/>
        </patternFill>
      </fill>
    </dxf>
    <dxf>
      <font>
        <b/>
        <i val="0"/>
      </font>
      <fill>
        <patternFill patternType="solid">
          <fgColor rgb="FFFF0000"/>
          <bgColor rgb="FFFF0000"/>
        </patternFill>
      </fill>
    </dxf>
    <dxf>
      <font>
        <b/>
        <i val="0"/>
        <condense val="0"/>
        <extend val="0"/>
      </font>
      <fill>
        <patternFill>
          <bgColor indexed="44"/>
        </patternFill>
      </fill>
    </dxf>
    <dxf>
      <font>
        <b/>
        <i val="0"/>
        <condense val="0"/>
        <extend val="0"/>
      </font>
      <fill>
        <patternFill>
          <bgColor indexed="44"/>
        </patternFill>
      </fill>
    </dxf>
    <dxf>
      <font>
        <b/>
        <i val="0"/>
        <condense val="0"/>
        <extend val="0"/>
      </font>
      <fill>
        <patternFill>
          <bgColor indexed="44"/>
        </patternFill>
      </fill>
    </dxf>
    <dxf>
      <font>
        <b/>
        <i val="0"/>
        <condense val="0"/>
        <extend val="0"/>
      </font>
      <fill>
        <patternFill>
          <bgColor indexed="44"/>
        </patternFill>
      </fill>
    </dxf>
  </dxfs>
  <tableStyles count="0" defaultTableStyle="TableStyleMedium2" defaultPivotStyle="PivotStyleLight16"/>
  <colors>
    <mruColors>
      <color rgb="FFFFCC99"/>
      <color rgb="FFFFFF99"/>
      <color rgb="FFFFFFCC"/>
      <color rgb="FFCCFFFF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trlProps/ctrlProp1.xml><?xml version="1.0" encoding="utf-8"?>
<formControlPr xmlns="http://schemas.microsoft.com/office/spreadsheetml/2009/9/main" objectType="Drop" dropLines="3" dropStyle="combo" dx="16" fmlaLink="$D$6" fmlaRange="$C$13:$K$15" noThreeD="1" val="0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6</xdr:row>
      <xdr:rowOff>57150</xdr:rowOff>
    </xdr:from>
    <xdr:to>
      <xdr:col>15</xdr:col>
      <xdr:colOff>0</xdr:colOff>
      <xdr:row>28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SpPr>
          <a:spLocks noChangeArrowheads="1"/>
        </xdr:cNvSpPr>
      </xdr:nvSpPr>
      <xdr:spPr bwMode="auto">
        <a:xfrm>
          <a:off x="504825" y="1114425"/>
          <a:ext cx="7296150" cy="285750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18</xdr:col>
      <xdr:colOff>0</xdr:colOff>
      <xdr:row>7</xdr:row>
      <xdr:rowOff>0</xdr:rowOff>
    </xdr:from>
    <xdr:to>
      <xdr:col>30</xdr:col>
      <xdr:colOff>133350</xdr:colOff>
      <xdr:row>28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SpPr>
          <a:spLocks noChangeArrowheads="1"/>
        </xdr:cNvSpPr>
      </xdr:nvSpPr>
      <xdr:spPr bwMode="auto">
        <a:xfrm>
          <a:off x="8477250" y="1114425"/>
          <a:ext cx="7296150" cy="285750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0</xdr:colOff>
      <xdr:row>31</xdr:row>
      <xdr:rowOff>57150</xdr:rowOff>
    </xdr:from>
    <xdr:to>
      <xdr:col>15</xdr:col>
      <xdr:colOff>0</xdr:colOff>
      <xdr:row>53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SpPr>
          <a:spLocks noChangeArrowheads="1"/>
        </xdr:cNvSpPr>
      </xdr:nvSpPr>
      <xdr:spPr bwMode="auto">
        <a:xfrm>
          <a:off x="504825" y="4448175"/>
          <a:ext cx="7296150" cy="285750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1076325</xdr:colOff>
          <xdr:row>4</xdr:row>
          <xdr:rowOff>47625</xdr:rowOff>
        </xdr:from>
        <xdr:to>
          <xdr:col>4</xdr:col>
          <xdr:colOff>19050</xdr:colOff>
          <xdr:row>6</xdr:row>
          <xdr:rowOff>47625</xdr:rowOff>
        </xdr:to>
        <xdr:sp macro="" textlink="">
          <xdr:nvSpPr>
            <xdr:cNvPr id="10241" name="Drop Down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16</xdr:col>
      <xdr:colOff>0</xdr:colOff>
      <xdr:row>26</xdr:row>
      <xdr:rowOff>133350</xdr:rowOff>
    </xdr:from>
    <xdr:ext cx="184731" cy="264560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SpPr txBox="1"/>
      </xdr:nvSpPr>
      <xdr:spPr>
        <a:xfrm>
          <a:off x="10223500" y="391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CA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Relationship Id="rId4" Type="http://schemas.openxmlformats.org/officeDocument/2006/relationships/ctrlProp" Target="../ctrlProps/ctrlProp1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J25"/>
  <sheetViews>
    <sheetView showGridLines="0" topLeftCell="A10" zoomScale="80" zoomScaleNormal="80" workbookViewId="0">
      <selection activeCell="E10" sqref="E10"/>
    </sheetView>
  </sheetViews>
  <sheetFormatPr defaultColWidth="10.7109375" defaultRowHeight="18.75"/>
  <cols>
    <col min="1" max="1" width="10.7109375" style="4" customWidth="1"/>
    <col min="2" max="2" width="50.7109375" style="10" customWidth="1"/>
    <col min="3" max="6" width="10.7109375" style="4" customWidth="1"/>
    <col min="7" max="10" width="8.7109375" style="4" customWidth="1"/>
    <col min="11" max="16384" width="10.7109375" style="4"/>
  </cols>
  <sheetData>
    <row r="1" spans="1:10">
      <c r="A1" s="513"/>
      <c r="B1" s="1"/>
      <c r="C1" s="2"/>
      <c r="D1" s="2"/>
      <c r="E1" s="2"/>
      <c r="F1" s="2"/>
      <c r="G1" s="2"/>
      <c r="H1" s="2"/>
      <c r="I1" s="2"/>
      <c r="J1" s="3"/>
    </row>
    <row r="2" spans="1:10">
      <c r="A2" s="5"/>
      <c r="B2" s="6"/>
      <c r="C2" s="7"/>
      <c r="D2" s="7"/>
      <c r="E2" s="7"/>
      <c r="F2" s="7"/>
      <c r="G2" s="7"/>
      <c r="H2" s="7"/>
      <c r="I2" s="7"/>
      <c r="J2" s="8"/>
    </row>
    <row r="3" spans="1:10">
      <c r="A3" s="5"/>
      <c r="B3" s="9"/>
      <c r="C3" s="7"/>
      <c r="D3" s="7"/>
      <c r="E3" s="7"/>
      <c r="F3" s="7"/>
      <c r="G3" s="7"/>
      <c r="H3" s="7"/>
      <c r="I3" s="7"/>
      <c r="J3" s="8"/>
    </row>
    <row r="4" spans="1:10">
      <c r="A4" s="5"/>
      <c r="C4" s="7"/>
      <c r="D4" s="7"/>
      <c r="E4" s="7"/>
      <c r="F4" s="7"/>
      <c r="G4" s="7"/>
      <c r="H4" s="7"/>
      <c r="I4" s="7"/>
      <c r="J4" s="8"/>
    </row>
    <row r="5" spans="1:10">
      <c r="A5" s="5"/>
      <c r="C5" s="7"/>
      <c r="D5" s="7"/>
      <c r="E5" s="7"/>
      <c r="F5" s="7"/>
      <c r="G5" s="7"/>
      <c r="H5" s="7"/>
      <c r="I5" s="7"/>
      <c r="J5" s="8"/>
    </row>
    <row r="6" spans="1:10">
      <c r="A6" s="5"/>
      <c r="C6" s="7"/>
      <c r="D6" s="7"/>
      <c r="E6" s="7"/>
      <c r="F6" s="7"/>
      <c r="G6" s="7"/>
      <c r="H6" s="7"/>
      <c r="I6" s="7"/>
      <c r="J6" s="8"/>
    </row>
    <row r="7" spans="1:10" ht="26.25">
      <c r="A7" s="5"/>
      <c r="B7" s="638" t="s">
        <v>287</v>
      </c>
      <c r="C7" s="7"/>
      <c r="D7" s="7"/>
      <c r="E7" s="7"/>
      <c r="F7" s="7"/>
      <c r="G7" s="7"/>
      <c r="H7" s="7"/>
      <c r="I7" s="7"/>
      <c r="J7" s="8"/>
    </row>
    <row r="8" spans="1:10">
      <c r="A8" s="5"/>
      <c r="B8" s="9"/>
      <c r="C8" s="7"/>
      <c r="D8" s="7"/>
      <c r="E8" s="7"/>
      <c r="F8" s="7"/>
      <c r="G8" s="7"/>
      <c r="H8" s="7"/>
      <c r="I8" s="7"/>
      <c r="J8" s="8"/>
    </row>
    <row r="9" spans="1:10">
      <c r="A9" s="5"/>
      <c r="B9" s="9"/>
      <c r="C9" s="7"/>
      <c r="D9" s="7"/>
      <c r="E9" s="7"/>
      <c r="F9" s="7"/>
      <c r="G9" s="7"/>
      <c r="H9" s="7"/>
      <c r="I9" s="7"/>
      <c r="J9" s="8"/>
    </row>
    <row r="10" spans="1:10">
      <c r="A10" s="5"/>
      <c r="B10" s="9"/>
      <c r="C10" s="7"/>
      <c r="D10" s="7"/>
      <c r="E10" s="7"/>
      <c r="F10" s="7"/>
      <c r="G10" s="7"/>
      <c r="H10" s="7"/>
      <c r="I10" s="7"/>
      <c r="J10" s="8"/>
    </row>
    <row r="11" spans="1:10">
      <c r="A11" s="5"/>
      <c r="B11" s="9"/>
      <c r="C11" s="7"/>
      <c r="D11" s="7"/>
      <c r="E11" s="7"/>
      <c r="F11" s="7"/>
      <c r="G11" s="7"/>
      <c r="H11" s="7"/>
      <c r="I11" s="7"/>
      <c r="J11" s="8"/>
    </row>
    <row r="12" spans="1:10" ht="39">
      <c r="A12" s="5"/>
      <c r="B12" s="639" t="s">
        <v>285</v>
      </c>
      <c r="C12" s="7"/>
      <c r="D12" s="7"/>
      <c r="E12" s="7"/>
      <c r="F12" s="7"/>
      <c r="G12" s="7"/>
      <c r="H12" s="7"/>
      <c r="I12" s="7"/>
      <c r="J12" s="8"/>
    </row>
    <row r="13" spans="1:10" ht="15" customHeight="1">
      <c r="A13" s="5"/>
      <c r="B13" s="11"/>
      <c r="C13" s="7"/>
      <c r="D13" s="7"/>
      <c r="E13" s="7"/>
      <c r="F13" s="7"/>
      <c r="G13" s="7"/>
      <c r="H13" s="7"/>
      <c r="I13" s="7"/>
      <c r="J13" s="8"/>
    </row>
    <row r="14" spans="1:10" ht="31.5">
      <c r="A14" s="5"/>
      <c r="B14" s="12" t="s">
        <v>206</v>
      </c>
      <c r="C14" s="7"/>
      <c r="D14" s="7"/>
      <c r="E14" s="7"/>
      <c r="F14" s="7"/>
      <c r="G14" s="7"/>
      <c r="H14" s="7"/>
      <c r="I14" s="7"/>
      <c r="J14" s="8"/>
    </row>
    <row r="15" spans="1:10">
      <c r="A15" s="5"/>
      <c r="B15" s="9"/>
      <c r="C15" s="7"/>
      <c r="D15" s="7"/>
      <c r="E15" s="7"/>
      <c r="F15" s="7"/>
      <c r="G15" s="7"/>
      <c r="H15" s="7"/>
      <c r="I15" s="7"/>
      <c r="J15" s="8"/>
    </row>
    <row r="16" spans="1:10">
      <c r="A16" s="5"/>
      <c r="B16" s="9"/>
      <c r="C16" s="7"/>
      <c r="D16" s="7"/>
      <c r="E16" s="7"/>
      <c r="F16" s="7"/>
      <c r="G16" s="7"/>
      <c r="H16" s="7"/>
      <c r="I16" s="7"/>
      <c r="J16" s="8"/>
    </row>
    <row r="17" spans="1:10">
      <c r="A17" s="5"/>
      <c r="B17" s="9"/>
      <c r="C17" s="7"/>
      <c r="D17" s="7"/>
      <c r="E17" s="7"/>
      <c r="F17" s="7"/>
      <c r="G17" s="7"/>
      <c r="H17" s="7"/>
      <c r="I17" s="7"/>
      <c r="J17" s="8"/>
    </row>
    <row r="18" spans="1:10">
      <c r="A18" s="5"/>
      <c r="B18" s="9"/>
      <c r="C18" s="7"/>
      <c r="D18" s="7"/>
      <c r="E18" s="7"/>
      <c r="F18" s="7"/>
      <c r="G18" s="7"/>
      <c r="H18" s="7"/>
      <c r="I18" s="7"/>
      <c r="J18" s="8"/>
    </row>
    <row r="19" spans="1:10">
      <c r="A19" s="5"/>
      <c r="B19" s="9"/>
      <c r="C19" s="7"/>
      <c r="D19" s="7"/>
      <c r="E19" s="7"/>
      <c r="F19" s="7"/>
      <c r="G19" s="7"/>
      <c r="H19" s="7"/>
      <c r="I19" s="7"/>
      <c r="J19" s="8"/>
    </row>
    <row r="20" spans="1:10">
      <c r="A20" s="5"/>
      <c r="B20" s="9"/>
      <c r="C20" s="7"/>
      <c r="D20" s="7"/>
      <c r="E20" s="7"/>
      <c r="F20" s="7"/>
      <c r="G20" s="7"/>
      <c r="H20" s="7"/>
      <c r="I20" s="7"/>
      <c r="J20" s="8"/>
    </row>
    <row r="21" spans="1:10">
      <c r="A21" s="5"/>
      <c r="B21" s="9"/>
      <c r="C21" s="7"/>
      <c r="D21" s="7"/>
      <c r="E21" s="7"/>
      <c r="F21" s="7"/>
      <c r="G21" s="7"/>
      <c r="H21" s="7"/>
      <c r="I21" s="7"/>
      <c r="J21" s="8"/>
    </row>
    <row r="22" spans="1:10" ht="26.25">
      <c r="A22" s="5"/>
      <c r="B22" s="13" t="s">
        <v>286</v>
      </c>
      <c r="C22" s="7"/>
      <c r="D22" s="7"/>
      <c r="E22" s="7"/>
      <c r="F22" s="7"/>
      <c r="G22" s="7"/>
      <c r="H22" s="7"/>
      <c r="I22" s="7"/>
      <c r="J22" s="8"/>
    </row>
    <row r="23" spans="1:10" ht="26.25">
      <c r="A23" s="5"/>
      <c r="B23" s="13"/>
      <c r="C23" s="7"/>
      <c r="D23" s="7"/>
      <c r="E23" s="7"/>
      <c r="F23" s="7"/>
      <c r="G23" s="7"/>
      <c r="H23" s="7"/>
      <c r="I23" s="7"/>
      <c r="J23" s="8"/>
    </row>
    <row r="24" spans="1:10" ht="26.25">
      <c r="A24" s="5"/>
      <c r="B24" s="13"/>
      <c r="C24" s="7"/>
      <c r="D24" s="7"/>
      <c r="E24" s="7"/>
      <c r="F24" s="7"/>
      <c r="G24" s="7"/>
      <c r="H24" s="7"/>
      <c r="I24" s="7"/>
      <c r="J24" s="8"/>
    </row>
    <row r="25" spans="1:10" ht="26.25">
      <c r="A25" s="14"/>
      <c r="B25" s="15"/>
      <c r="C25" s="16"/>
      <c r="D25" s="16"/>
      <c r="E25" s="16"/>
      <c r="F25" s="16"/>
      <c r="G25" s="16"/>
      <c r="H25" s="16"/>
      <c r="I25" s="16"/>
      <c r="J25" s="17"/>
    </row>
  </sheetData>
  <phoneticPr fontId="0" type="noConversion"/>
  <conditionalFormatting sqref="J349:N353">
    <cfRule type="cellIs" dxfId="13" priority="1" stopIfTrue="1" operator="greaterThan">
      <formula>330</formula>
    </cfRule>
  </conditionalFormatting>
  <printOptions horizontalCentered="1" verticalCentered="1"/>
  <pageMargins left="0.5" right="0.5" top="0.5" bottom="0.5" header="0.5" footer="0.5"/>
  <pageSetup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F68"/>
  <sheetViews>
    <sheetView showGridLines="0" topLeftCell="D49" zoomScaleNormal="100" workbookViewId="0">
      <selection activeCell="G12" sqref="G12"/>
    </sheetView>
  </sheetViews>
  <sheetFormatPr defaultColWidth="10.7109375" defaultRowHeight="12.75"/>
  <cols>
    <col min="1" max="1" width="2.85546875" style="448" customWidth="1"/>
    <col min="2" max="2" width="4.7109375" style="448" customWidth="1"/>
    <col min="3" max="4" width="1.7109375" style="448" customWidth="1"/>
    <col min="5" max="5" width="20.7109375" style="448" customWidth="1"/>
    <col min="6" max="14" width="9.28515625" style="448" customWidth="1"/>
    <col min="15" max="15" width="1.7109375" style="448" customWidth="1"/>
    <col min="16" max="16" width="4.7109375" style="448" customWidth="1"/>
    <col min="17" max="18" width="2.7109375" style="448" customWidth="1"/>
    <col min="19" max="20" width="1.7109375" style="448" customWidth="1"/>
    <col min="21" max="21" width="20.7109375" style="448" customWidth="1"/>
    <col min="22" max="30" width="9.28515625" style="448" customWidth="1"/>
    <col min="31" max="31" width="1.7109375" style="448" customWidth="1"/>
    <col min="32" max="256" width="10.7109375" style="448"/>
    <col min="257" max="257" width="2.85546875" style="448" customWidth="1"/>
    <col min="258" max="258" width="4.7109375" style="448" customWidth="1"/>
    <col min="259" max="260" width="1.7109375" style="448" customWidth="1"/>
    <col min="261" max="261" width="20.7109375" style="448" customWidth="1"/>
    <col min="262" max="270" width="9.28515625" style="448" customWidth="1"/>
    <col min="271" max="271" width="1.7109375" style="448" customWidth="1"/>
    <col min="272" max="272" width="4.7109375" style="448" customWidth="1"/>
    <col min="273" max="274" width="2.7109375" style="448" customWidth="1"/>
    <col min="275" max="276" width="1.7109375" style="448" customWidth="1"/>
    <col min="277" max="277" width="20.7109375" style="448" customWidth="1"/>
    <col min="278" max="286" width="9.28515625" style="448" customWidth="1"/>
    <col min="287" max="287" width="1.7109375" style="448" customWidth="1"/>
    <col min="288" max="512" width="10.7109375" style="448"/>
    <col min="513" max="513" width="2.85546875" style="448" customWidth="1"/>
    <col min="514" max="514" width="4.7109375" style="448" customWidth="1"/>
    <col min="515" max="516" width="1.7109375" style="448" customWidth="1"/>
    <col min="517" max="517" width="20.7109375" style="448" customWidth="1"/>
    <col min="518" max="526" width="9.28515625" style="448" customWidth="1"/>
    <col min="527" max="527" width="1.7109375" style="448" customWidth="1"/>
    <col min="528" max="528" width="4.7109375" style="448" customWidth="1"/>
    <col min="529" max="530" width="2.7109375" style="448" customWidth="1"/>
    <col min="531" max="532" width="1.7109375" style="448" customWidth="1"/>
    <col min="533" max="533" width="20.7109375" style="448" customWidth="1"/>
    <col min="534" max="542" width="9.28515625" style="448" customWidth="1"/>
    <col min="543" max="543" width="1.7109375" style="448" customWidth="1"/>
    <col min="544" max="768" width="10.7109375" style="448"/>
    <col min="769" max="769" width="2.85546875" style="448" customWidth="1"/>
    <col min="770" max="770" width="4.7109375" style="448" customWidth="1"/>
    <col min="771" max="772" width="1.7109375" style="448" customWidth="1"/>
    <col min="773" max="773" width="20.7109375" style="448" customWidth="1"/>
    <col min="774" max="782" width="9.28515625" style="448" customWidth="1"/>
    <col min="783" max="783" width="1.7109375" style="448" customWidth="1"/>
    <col min="784" max="784" width="4.7109375" style="448" customWidth="1"/>
    <col min="785" max="786" width="2.7109375" style="448" customWidth="1"/>
    <col min="787" max="788" width="1.7109375" style="448" customWidth="1"/>
    <col min="789" max="789" width="20.7109375" style="448" customWidth="1"/>
    <col min="790" max="798" width="9.28515625" style="448" customWidth="1"/>
    <col min="799" max="799" width="1.7109375" style="448" customWidth="1"/>
    <col min="800" max="1024" width="10.7109375" style="448"/>
    <col min="1025" max="1025" width="2.85546875" style="448" customWidth="1"/>
    <col min="1026" max="1026" width="4.7109375" style="448" customWidth="1"/>
    <col min="1027" max="1028" width="1.7109375" style="448" customWidth="1"/>
    <col min="1029" max="1029" width="20.7109375" style="448" customWidth="1"/>
    <col min="1030" max="1038" width="9.28515625" style="448" customWidth="1"/>
    <col min="1039" max="1039" width="1.7109375" style="448" customWidth="1"/>
    <col min="1040" max="1040" width="4.7109375" style="448" customWidth="1"/>
    <col min="1041" max="1042" width="2.7109375" style="448" customWidth="1"/>
    <col min="1043" max="1044" width="1.7109375" style="448" customWidth="1"/>
    <col min="1045" max="1045" width="20.7109375" style="448" customWidth="1"/>
    <col min="1046" max="1054" width="9.28515625" style="448" customWidth="1"/>
    <col min="1055" max="1055" width="1.7109375" style="448" customWidth="1"/>
    <col min="1056" max="1280" width="10.7109375" style="448"/>
    <col min="1281" max="1281" width="2.85546875" style="448" customWidth="1"/>
    <col min="1282" max="1282" width="4.7109375" style="448" customWidth="1"/>
    <col min="1283" max="1284" width="1.7109375" style="448" customWidth="1"/>
    <col min="1285" max="1285" width="20.7109375" style="448" customWidth="1"/>
    <col min="1286" max="1294" width="9.28515625" style="448" customWidth="1"/>
    <col min="1295" max="1295" width="1.7109375" style="448" customWidth="1"/>
    <col min="1296" max="1296" width="4.7109375" style="448" customWidth="1"/>
    <col min="1297" max="1298" width="2.7109375" style="448" customWidth="1"/>
    <col min="1299" max="1300" width="1.7109375" style="448" customWidth="1"/>
    <col min="1301" max="1301" width="20.7109375" style="448" customWidth="1"/>
    <col min="1302" max="1310" width="9.28515625" style="448" customWidth="1"/>
    <col min="1311" max="1311" width="1.7109375" style="448" customWidth="1"/>
    <col min="1312" max="1536" width="10.7109375" style="448"/>
    <col min="1537" max="1537" width="2.85546875" style="448" customWidth="1"/>
    <col min="1538" max="1538" width="4.7109375" style="448" customWidth="1"/>
    <col min="1539" max="1540" width="1.7109375" style="448" customWidth="1"/>
    <col min="1541" max="1541" width="20.7109375" style="448" customWidth="1"/>
    <col min="1542" max="1550" width="9.28515625" style="448" customWidth="1"/>
    <col min="1551" max="1551" width="1.7109375" style="448" customWidth="1"/>
    <col min="1552" max="1552" width="4.7109375" style="448" customWidth="1"/>
    <col min="1553" max="1554" width="2.7109375" style="448" customWidth="1"/>
    <col min="1555" max="1556" width="1.7109375" style="448" customWidth="1"/>
    <col min="1557" max="1557" width="20.7109375" style="448" customWidth="1"/>
    <col min="1558" max="1566" width="9.28515625" style="448" customWidth="1"/>
    <col min="1567" max="1567" width="1.7109375" style="448" customWidth="1"/>
    <col min="1568" max="1792" width="10.7109375" style="448"/>
    <col min="1793" max="1793" width="2.85546875" style="448" customWidth="1"/>
    <col min="1794" max="1794" width="4.7109375" style="448" customWidth="1"/>
    <col min="1795" max="1796" width="1.7109375" style="448" customWidth="1"/>
    <col min="1797" max="1797" width="20.7109375" style="448" customWidth="1"/>
    <col min="1798" max="1806" width="9.28515625" style="448" customWidth="1"/>
    <col min="1807" max="1807" width="1.7109375" style="448" customWidth="1"/>
    <col min="1808" max="1808" width="4.7109375" style="448" customWidth="1"/>
    <col min="1809" max="1810" width="2.7109375" style="448" customWidth="1"/>
    <col min="1811" max="1812" width="1.7109375" style="448" customWidth="1"/>
    <col min="1813" max="1813" width="20.7109375" style="448" customWidth="1"/>
    <col min="1814" max="1822" width="9.28515625" style="448" customWidth="1"/>
    <col min="1823" max="1823" width="1.7109375" style="448" customWidth="1"/>
    <col min="1824" max="2048" width="10.7109375" style="448"/>
    <col min="2049" max="2049" width="2.85546875" style="448" customWidth="1"/>
    <col min="2050" max="2050" width="4.7109375" style="448" customWidth="1"/>
    <col min="2051" max="2052" width="1.7109375" style="448" customWidth="1"/>
    <col min="2053" max="2053" width="20.7109375" style="448" customWidth="1"/>
    <col min="2054" max="2062" width="9.28515625" style="448" customWidth="1"/>
    <col min="2063" max="2063" width="1.7109375" style="448" customWidth="1"/>
    <col min="2064" max="2064" width="4.7109375" style="448" customWidth="1"/>
    <col min="2065" max="2066" width="2.7109375" style="448" customWidth="1"/>
    <col min="2067" max="2068" width="1.7109375" style="448" customWidth="1"/>
    <col min="2069" max="2069" width="20.7109375" style="448" customWidth="1"/>
    <col min="2070" max="2078" width="9.28515625" style="448" customWidth="1"/>
    <col min="2079" max="2079" width="1.7109375" style="448" customWidth="1"/>
    <col min="2080" max="2304" width="10.7109375" style="448"/>
    <col min="2305" max="2305" width="2.85546875" style="448" customWidth="1"/>
    <col min="2306" max="2306" width="4.7109375" style="448" customWidth="1"/>
    <col min="2307" max="2308" width="1.7109375" style="448" customWidth="1"/>
    <col min="2309" max="2309" width="20.7109375" style="448" customWidth="1"/>
    <col min="2310" max="2318" width="9.28515625" style="448" customWidth="1"/>
    <col min="2319" max="2319" width="1.7109375" style="448" customWidth="1"/>
    <col min="2320" max="2320" width="4.7109375" style="448" customWidth="1"/>
    <col min="2321" max="2322" width="2.7109375" style="448" customWidth="1"/>
    <col min="2323" max="2324" width="1.7109375" style="448" customWidth="1"/>
    <col min="2325" max="2325" width="20.7109375" style="448" customWidth="1"/>
    <col min="2326" max="2334" width="9.28515625" style="448" customWidth="1"/>
    <col min="2335" max="2335" width="1.7109375" style="448" customWidth="1"/>
    <col min="2336" max="2560" width="10.7109375" style="448"/>
    <col min="2561" max="2561" width="2.85546875" style="448" customWidth="1"/>
    <col min="2562" max="2562" width="4.7109375" style="448" customWidth="1"/>
    <col min="2563" max="2564" width="1.7109375" style="448" customWidth="1"/>
    <col min="2565" max="2565" width="20.7109375" style="448" customWidth="1"/>
    <col min="2566" max="2574" width="9.28515625" style="448" customWidth="1"/>
    <col min="2575" max="2575" width="1.7109375" style="448" customWidth="1"/>
    <col min="2576" max="2576" width="4.7109375" style="448" customWidth="1"/>
    <col min="2577" max="2578" width="2.7109375" style="448" customWidth="1"/>
    <col min="2579" max="2580" width="1.7109375" style="448" customWidth="1"/>
    <col min="2581" max="2581" width="20.7109375" style="448" customWidth="1"/>
    <col min="2582" max="2590" width="9.28515625" style="448" customWidth="1"/>
    <col min="2591" max="2591" width="1.7109375" style="448" customWidth="1"/>
    <col min="2592" max="2816" width="10.7109375" style="448"/>
    <col min="2817" max="2817" width="2.85546875" style="448" customWidth="1"/>
    <col min="2818" max="2818" width="4.7109375" style="448" customWidth="1"/>
    <col min="2819" max="2820" width="1.7109375" style="448" customWidth="1"/>
    <col min="2821" max="2821" width="20.7109375" style="448" customWidth="1"/>
    <col min="2822" max="2830" width="9.28515625" style="448" customWidth="1"/>
    <col min="2831" max="2831" width="1.7109375" style="448" customWidth="1"/>
    <col min="2832" max="2832" width="4.7109375" style="448" customWidth="1"/>
    <col min="2833" max="2834" width="2.7109375" style="448" customWidth="1"/>
    <col min="2835" max="2836" width="1.7109375" style="448" customWidth="1"/>
    <col min="2837" max="2837" width="20.7109375" style="448" customWidth="1"/>
    <col min="2838" max="2846" width="9.28515625" style="448" customWidth="1"/>
    <col min="2847" max="2847" width="1.7109375" style="448" customWidth="1"/>
    <col min="2848" max="3072" width="10.7109375" style="448"/>
    <col min="3073" max="3073" width="2.85546875" style="448" customWidth="1"/>
    <col min="3074" max="3074" width="4.7109375" style="448" customWidth="1"/>
    <col min="3075" max="3076" width="1.7109375" style="448" customWidth="1"/>
    <col min="3077" max="3077" width="20.7109375" style="448" customWidth="1"/>
    <col min="3078" max="3086" width="9.28515625" style="448" customWidth="1"/>
    <col min="3087" max="3087" width="1.7109375" style="448" customWidth="1"/>
    <col min="3088" max="3088" width="4.7109375" style="448" customWidth="1"/>
    <col min="3089" max="3090" width="2.7109375" style="448" customWidth="1"/>
    <col min="3091" max="3092" width="1.7109375" style="448" customWidth="1"/>
    <col min="3093" max="3093" width="20.7109375" style="448" customWidth="1"/>
    <col min="3094" max="3102" width="9.28515625" style="448" customWidth="1"/>
    <col min="3103" max="3103" width="1.7109375" style="448" customWidth="1"/>
    <col min="3104" max="3328" width="10.7109375" style="448"/>
    <col min="3329" max="3329" width="2.85546875" style="448" customWidth="1"/>
    <col min="3330" max="3330" width="4.7109375" style="448" customWidth="1"/>
    <col min="3331" max="3332" width="1.7109375" style="448" customWidth="1"/>
    <col min="3333" max="3333" width="20.7109375" style="448" customWidth="1"/>
    <col min="3334" max="3342" width="9.28515625" style="448" customWidth="1"/>
    <col min="3343" max="3343" width="1.7109375" style="448" customWidth="1"/>
    <col min="3344" max="3344" width="4.7109375" style="448" customWidth="1"/>
    <col min="3345" max="3346" width="2.7109375" style="448" customWidth="1"/>
    <col min="3347" max="3348" width="1.7109375" style="448" customWidth="1"/>
    <col min="3349" max="3349" width="20.7109375" style="448" customWidth="1"/>
    <col min="3350" max="3358" width="9.28515625" style="448" customWidth="1"/>
    <col min="3359" max="3359" width="1.7109375" style="448" customWidth="1"/>
    <col min="3360" max="3584" width="10.7109375" style="448"/>
    <col min="3585" max="3585" width="2.85546875" style="448" customWidth="1"/>
    <col min="3586" max="3586" width="4.7109375" style="448" customWidth="1"/>
    <col min="3587" max="3588" width="1.7109375" style="448" customWidth="1"/>
    <col min="3589" max="3589" width="20.7109375" style="448" customWidth="1"/>
    <col min="3590" max="3598" width="9.28515625" style="448" customWidth="1"/>
    <col min="3599" max="3599" width="1.7109375" style="448" customWidth="1"/>
    <col min="3600" max="3600" width="4.7109375" style="448" customWidth="1"/>
    <col min="3601" max="3602" width="2.7109375" style="448" customWidth="1"/>
    <col min="3603" max="3604" width="1.7109375" style="448" customWidth="1"/>
    <col min="3605" max="3605" width="20.7109375" style="448" customWidth="1"/>
    <col min="3606" max="3614" width="9.28515625" style="448" customWidth="1"/>
    <col min="3615" max="3615" width="1.7109375" style="448" customWidth="1"/>
    <col min="3616" max="3840" width="10.7109375" style="448"/>
    <col min="3841" max="3841" width="2.85546875" style="448" customWidth="1"/>
    <col min="3842" max="3842" width="4.7109375" style="448" customWidth="1"/>
    <col min="3843" max="3844" width="1.7109375" style="448" customWidth="1"/>
    <col min="3845" max="3845" width="20.7109375" style="448" customWidth="1"/>
    <col min="3846" max="3854" width="9.28515625" style="448" customWidth="1"/>
    <col min="3855" max="3855" width="1.7109375" style="448" customWidth="1"/>
    <col min="3856" max="3856" width="4.7109375" style="448" customWidth="1"/>
    <col min="3857" max="3858" width="2.7109375" style="448" customWidth="1"/>
    <col min="3859" max="3860" width="1.7109375" style="448" customWidth="1"/>
    <col min="3861" max="3861" width="20.7109375" style="448" customWidth="1"/>
    <col min="3862" max="3870" width="9.28515625" style="448" customWidth="1"/>
    <col min="3871" max="3871" width="1.7109375" style="448" customWidth="1"/>
    <col min="3872" max="4096" width="10.7109375" style="448"/>
    <col min="4097" max="4097" width="2.85546875" style="448" customWidth="1"/>
    <col min="4098" max="4098" width="4.7109375" style="448" customWidth="1"/>
    <col min="4099" max="4100" width="1.7109375" style="448" customWidth="1"/>
    <col min="4101" max="4101" width="20.7109375" style="448" customWidth="1"/>
    <col min="4102" max="4110" width="9.28515625" style="448" customWidth="1"/>
    <col min="4111" max="4111" width="1.7109375" style="448" customWidth="1"/>
    <col min="4112" max="4112" width="4.7109375" style="448" customWidth="1"/>
    <col min="4113" max="4114" width="2.7109375" style="448" customWidth="1"/>
    <col min="4115" max="4116" width="1.7109375" style="448" customWidth="1"/>
    <col min="4117" max="4117" width="20.7109375" style="448" customWidth="1"/>
    <col min="4118" max="4126" width="9.28515625" style="448" customWidth="1"/>
    <col min="4127" max="4127" width="1.7109375" style="448" customWidth="1"/>
    <col min="4128" max="4352" width="10.7109375" style="448"/>
    <col min="4353" max="4353" width="2.85546875" style="448" customWidth="1"/>
    <col min="4354" max="4354" width="4.7109375" style="448" customWidth="1"/>
    <col min="4355" max="4356" width="1.7109375" style="448" customWidth="1"/>
    <col min="4357" max="4357" width="20.7109375" style="448" customWidth="1"/>
    <col min="4358" max="4366" width="9.28515625" style="448" customWidth="1"/>
    <col min="4367" max="4367" width="1.7109375" style="448" customWidth="1"/>
    <col min="4368" max="4368" width="4.7109375" style="448" customWidth="1"/>
    <col min="4369" max="4370" width="2.7109375" style="448" customWidth="1"/>
    <col min="4371" max="4372" width="1.7109375" style="448" customWidth="1"/>
    <col min="4373" max="4373" width="20.7109375" style="448" customWidth="1"/>
    <col min="4374" max="4382" width="9.28515625" style="448" customWidth="1"/>
    <col min="4383" max="4383" width="1.7109375" style="448" customWidth="1"/>
    <col min="4384" max="4608" width="10.7109375" style="448"/>
    <col min="4609" max="4609" width="2.85546875" style="448" customWidth="1"/>
    <col min="4610" max="4610" width="4.7109375" style="448" customWidth="1"/>
    <col min="4611" max="4612" width="1.7109375" style="448" customWidth="1"/>
    <col min="4613" max="4613" width="20.7109375" style="448" customWidth="1"/>
    <col min="4614" max="4622" width="9.28515625" style="448" customWidth="1"/>
    <col min="4623" max="4623" width="1.7109375" style="448" customWidth="1"/>
    <col min="4624" max="4624" width="4.7109375" style="448" customWidth="1"/>
    <col min="4625" max="4626" width="2.7109375" style="448" customWidth="1"/>
    <col min="4627" max="4628" width="1.7109375" style="448" customWidth="1"/>
    <col min="4629" max="4629" width="20.7109375" style="448" customWidth="1"/>
    <col min="4630" max="4638" width="9.28515625" style="448" customWidth="1"/>
    <col min="4639" max="4639" width="1.7109375" style="448" customWidth="1"/>
    <col min="4640" max="4864" width="10.7109375" style="448"/>
    <col min="4865" max="4865" width="2.85546875" style="448" customWidth="1"/>
    <col min="4866" max="4866" width="4.7109375" style="448" customWidth="1"/>
    <col min="4867" max="4868" width="1.7109375" style="448" customWidth="1"/>
    <col min="4869" max="4869" width="20.7109375" style="448" customWidth="1"/>
    <col min="4870" max="4878" width="9.28515625" style="448" customWidth="1"/>
    <col min="4879" max="4879" width="1.7109375" style="448" customWidth="1"/>
    <col min="4880" max="4880" width="4.7109375" style="448" customWidth="1"/>
    <col min="4881" max="4882" width="2.7109375" style="448" customWidth="1"/>
    <col min="4883" max="4884" width="1.7109375" style="448" customWidth="1"/>
    <col min="4885" max="4885" width="20.7109375" style="448" customWidth="1"/>
    <col min="4886" max="4894" width="9.28515625" style="448" customWidth="1"/>
    <col min="4895" max="4895" width="1.7109375" style="448" customWidth="1"/>
    <col min="4896" max="5120" width="10.7109375" style="448"/>
    <col min="5121" max="5121" width="2.85546875" style="448" customWidth="1"/>
    <col min="5122" max="5122" width="4.7109375" style="448" customWidth="1"/>
    <col min="5123" max="5124" width="1.7109375" style="448" customWidth="1"/>
    <col min="5125" max="5125" width="20.7109375" style="448" customWidth="1"/>
    <col min="5126" max="5134" width="9.28515625" style="448" customWidth="1"/>
    <col min="5135" max="5135" width="1.7109375" style="448" customWidth="1"/>
    <col min="5136" max="5136" width="4.7109375" style="448" customWidth="1"/>
    <col min="5137" max="5138" width="2.7109375" style="448" customWidth="1"/>
    <col min="5139" max="5140" width="1.7109375" style="448" customWidth="1"/>
    <col min="5141" max="5141" width="20.7109375" style="448" customWidth="1"/>
    <col min="5142" max="5150" width="9.28515625" style="448" customWidth="1"/>
    <col min="5151" max="5151" width="1.7109375" style="448" customWidth="1"/>
    <col min="5152" max="5376" width="10.7109375" style="448"/>
    <col min="5377" max="5377" width="2.85546875" style="448" customWidth="1"/>
    <col min="5378" max="5378" width="4.7109375" style="448" customWidth="1"/>
    <col min="5379" max="5380" width="1.7109375" style="448" customWidth="1"/>
    <col min="5381" max="5381" width="20.7109375" style="448" customWidth="1"/>
    <col min="5382" max="5390" width="9.28515625" style="448" customWidth="1"/>
    <col min="5391" max="5391" width="1.7109375" style="448" customWidth="1"/>
    <col min="5392" max="5392" width="4.7109375" style="448" customWidth="1"/>
    <col min="5393" max="5394" width="2.7109375" style="448" customWidth="1"/>
    <col min="5395" max="5396" width="1.7109375" style="448" customWidth="1"/>
    <col min="5397" max="5397" width="20.7109375" style="448" customWidth="1"/>
    <col min="5398" max="5406" width="9.28515625" style="448" customWidth="1"/>
    <col min="5407" max="5407" width="1.7109375" style="448" customWidth="1"/>
    <col min="5408" max="5632" width="10.7109375" style="448"/>
    <col min="5633" max="5633" width="2.85546875" style="448" customWidth="1"/>
    <col min="5634" max="5634" width="4.7109375" style="448" customWidth="1"/>
    <col min="5635" max="5636" width="1.7109375" style="448" customWidth="1"/>
    <col min="5637" max="5637" width="20.7109375" style="448" customWidth="1"/>
    <col min="5638" max="5646" width="9.28515625" style="448" customWidth="1"/>
    <col min="5647" max="5647" width="1.7109375" style="448" customWidth="1"/>
    <col min="5648" max="5648" width="4.7109375" style="448" customWidth="1"/>
    <col min="5649" max="5650" width="2.7109375" style="448" customWidth="1"/>
    <col min="5651" max="5652" width="1.7109375" style="448" customWidth="1"/>
    <col min="5653" max="5653" width="20.7109375" style="448" customWidth="1"/>
    <col min="5654" max="5662" width="9.28515625" style="448" customWidth="1"/>
    <col min="5663" max="5663" width="1.7109375" style="448" customWidth="1"/>
    <col min="5664" max="5888" width="10.7109375" style="448"/>
    <col min="5889" max="5889" width="2.85546875" style="448" customWidth="1"/>
    <col min="5890" max="5890" width="4.7109375" style="448" customWidth="1"/>
    <col min="5891" max="5892" width="1.7109375" style="448" customWidth="1"/>
    <col min="5893" max="5893" width="20.7109375" style="448" customWidth="1"/>
    <col min="5894" max="5902" width="9.28515625" style="448" customWidth="1"/>
    <col min="5903" max="5903" width="1.7109375" style="448" customWidth="1"/>
    <col min="5904" max="5904" width="4.7109375" style="448" customWidth="1"/>
    <col min="5905" max="5906" width="2.7109375" style="448" customWidth="1"/>
    <col min="5907" max="5908" width="1.7109375" style="448" customWidth="1"/>
    <col min="5909" max="5909" width="20.7109375" style="448" customWidth="1"/>
    <col min="5910" max="5918" width="9.28515625" style="448" customWidth="1"/>
    <col min="5919" max="5919" width="1.7109375" style="448" customWidth="1"/>
    <col min="5920" max="6144" width="10.7109375" style="448"/>
    <col min="6145" max="6145" width="2.85546875" style="448" customWidth="1"/>
    <col min="6146" max="6146" width="4.7109375" style="448" customWidth="1"/>
    <col min="6147" max="6148" width="1.7109375" style="448" customWidth="1"/>
    <col min="6149" max="6149" width="20.7109375" style="448" customWidth="1"/>
    <col min="6150" max="6158" width="9.28515625" style="448" customWidth="1"/>
    <col min="6159" max="6159" width="1.7109375" style="448" customWidth="1"/>
    <col min="6160" max="6160" width="4.7109375" style="448" customWidth="1"/>
    <col min="6161" max="6162" width="2.7109375" style="448" customWidth="1"/>
    <col min="6163" max="6164" width="1.7109375" style="448" customWidth="1"/>
    <col min="6165" max="6165" width="20.7109375" style="448" customWidth="1"/>
    <col min="6166" max="6174" width="9.28515625" style="448" customWidth="1"/>
    <col min="6175" max="6175" width="1.7109375" style="448" customWidth="1"/>
    <col min="6176" max="6400" width="10.7109375" style="448"/>
    <col min="6401" max="6401" width="2.85546875" style="448" customWidth="1"/>
    <col min="6402" max="6402" width="4.7109375" style="448" customWidth="1"/>
    <col min="6403" max="6404" width="1.7109375" style="448" customWidth="1"/>
    <col min="6405" max="6405" width="20.7109375" style="448" customWidth="1"/>
    <col min="6406" max="6414" width="9.28515625" style="448" customWidth="1"/>
    <col min="6415" max="6415" width="1.7109375" style="448" customWidth="1"/>
    <col min="6416" max="6416" width="4.7109375" style="448" customWidth="1"/>
    <col min="6417" max="6418" width="2.7109375" style="448" customWidth="1"/>
    <col min="6419" max="6420" width="1.7109375" style="448" customWidth="1"/>
    <col min="6421" max="6421" width="20.7109375" style="448" customWidth="1"/>
    <col min="6422" max="6430" width="9.28515625" style="448" customWidth="1"/>
    <col min="6431" max="6431" width="1.7109375" style="448" customWidth="1"/>
    <col min="6432" max="6656" width="10.7109375" style="448"/>
    <col min="6657" max="6657" width="2.85546875" style="448" customWidth="1"/>
    <col min="6658" max="6658" width="4.7109375" style="448" customWidth="1"/>
    <col min="6659" max="6660" width="1.7109375" style="448" customWidth="1"/>
    <col min="6661" max="6661" width="20.7109375" style="448" customWidth="1"/>
    <col min="6662" max="6670" width="9.28515625" style="448" customWidth="1"/>
    <col min="6671" max="6671" width="1.7109375" style="448" customWidth="1"/>
    <col min="6672" max="6672" width="4.7109375" style="448" customWidth="1"/>
    <col min="6673" max="6674" width="2.7109375" style="448" customWidth="1"/>
    <col min="6675" max="6676" width="1.7109375" style="448" customWidth="1"/>
    <col min="6677" max="6677" width="20.7109375" style="448" customWidth="1"/>
    <col min="6678" max="6686" width="9.28515625" style="448" customWidth="1"/>
    <col min="6687" max="6687" width="1.7109375" style="448" customWidth="1"/>
    <col min="6688" max="6912" width="10.7109375" style="448"/>
    <col min="6913" max="6913" width="2.85546875" style="448" customWidth="1"/>
    <col min="6914" max="6914" width="4.7109375" style="448" customWidth="1"/>
    <col min="6915" max="6916" width="1.7109375" style="448" customWidth="1"/>
    <col min="6917" max="6917" width="20.7109375" style="448" customWidth="1"/>
    <col min="6918" max="6926" width="9.28515625" style="448" customWidth="1"/>
    <col min="6927" max="6927" width="1.7109375" style="448" customWidth="1"/>
    <col min="6928" max="6928" width="4.7109375" style="448" customWidth="1"/>
    <col min="6929" max="6930" width="2.7109375" style="448" customWidth="1"/>
    <col min="6931" max="6932" width="1.7109375" style="448" customWidth="1"/>
    <col min="6933" max="6933" width="20.7109375" style="448" customWidth="1"/>
    <col min="6934" max="6942" width="9.28515625" style="448" customWidth="1"/>
    <col min="6943" max="6943" width="1.7109375" style="448" customWidth="1"/>
    <col min="6944" max="7168" width="10.7109375" style="448"/>
    <col min="7169" max="7169" width="2.85546875" style="448" customWidth="1"/>
    <col min="7170" max="7170" width="4.7109375" style="448" customWidth="1"/>
    <col min="7171" max="7172" width="1.7109375" style="448" customWidth="1"/>
    <col min="7173" max="7173" width="20.7109375" style="448" customWidth="1"/>
    <col min="7174" max="7182" width="9.28515625" style="448" customWidth="1"/>
    <col min="7183" max="7183" width="1.7109375" style="448" customWidth="1"/>
    <col min="7184" max="7184" width="4.7109375" style="448" customWidth="1"/>
    <col min="7185" max="7186" width="2.7109375" style="448" customWidth="1"/>
    <col min="7187" max="7188" width="1.7109375" style="448" customWidth="1"/>
    <col min="7189" max="7189" width="20.7109375" style="448" customWidth="1"/>
    <col min="7190" max="7198" width="9.28515625" style="448" customWidth="1"/>
    <col min="7199" max="7199" width="1.7109375" style="448" customWidth="1"/>
    <col min="7200" max="7424" width="10.7109375" style="448"/>
    <col min="7425" max="7425" width="2.85546875" style="448" customWidth="1"/>
    <col min="7426" max="7426" width="4.7109375" style="448" customWidth="1"/>
    <col min="7427" max="7428" width="1.7109375" style="448" customWidth="1"/>
    <col min="7429" max="7429" width="20.7109375" style="448" customWidth="1"/>
    <col min="7430" max="7438" width="9.28515625" style="448" customWidth="1"/>
    <col min="7439" max="7439" width="1.7109375" style="448" customWidth="1"/>
    <col min="7440" max="7440" width="4.7109375" style="448" customWidth="1"/>
    <col min="7441" max="7442" width="2.7109375" style="448" customWidth="1"/>
    <col min="7443" max="7444" width="1.7109375" style="448" customWidth="1"/>
    <col min="7445" max="7445" width="20.7109375" style="448" customWidth="1"/>
    <col min="7446" max="7454" width="9.28515625" style="448" customWidth="1"/>
    <col min="7455" max="7455" width="1.7109375" style="448" customWidth="1"/>
    <col min="7456" max="7680" width="10.7109375" style="448"/>
    <col min="7681" max="7681" width="2.85546875" style="448" customWidth="1"/>
    <col min="7682" max="7682" width="4.7109375" style="448" customWidth="1"/>
    <col min="7683" max="7684" width="1.7109375" style="448" customWidth="1"/>
    <col min="7685" max="7685" width="20.7109375" style="448" customWidth="1"/>
    <col min="7686" max="7694" width="9.28515625" style="448" customWidth="1"/>
    <col min="7695" max="7695" width="1.7109375" style="448" customWidth="1"/>
    <col min="7696" max="7696" width="4.7109375" style="448" customWidth="1"/>
    <col min="7697" max="7698" width="2.7109375" style="448" customWidth="1"/>
    <col min="7699" max="7700" width="1.7109375" style="448" customWidth="1"/>
    <col min="7701" max="7701" width="20.7109375" style="448" customWidth="1"/>
    <col min="7702" max="7710" width="9.28515625" style="448" customWidth="1"/>
    <col min="7711" max="7711" width="1.7109375" style="448" customWidth="1"/>
    <col min="7712" max="7936" width="10.7109375" style="448"/>
    <col min="7937" max="7937" width="2.85546875" style="448" customWidth="1"/>
    <col min="7938" max="7938" width="4.7109375" style="448" customWidth="1"/>
    <col min="7939" max="7940" width="1.7109375" style="448" customWidth="1"/>
    <col min="7941" max="7941" width="20.7109375" style="448" customWidth="1"/>
    <col min="7942" max="7950" width="9.28515625" style="448" customWidth="1"/>
    <col min="7951" max="7951" width="1.7109375" style="448" customWidth="1"/>
    <col min="7952" max="7952" width="4.7109375" style="448" customWidth="1"/>
    <col min="7953" max="7954" width="2.7109375" style="448" customWidth="1"/>
    <col min="7955" max="7956" width="1.7109375" style="448" customWidth="1"/>
    <col min="7957" max="7957" width="20.7109375" style="448" customWidth="1"/>
    <col min="7958" max="7966" width="9.28515625" style="448" customWidth="1"/>
    <col min="7967" max="7967" width="1.7109375" style="448" customWidth="1"/>
    <col min="7968" max="8192" width="10.7109375" style="448"/>
    <col min="8193" max="8193" width="2.85546875" style="448" customWidth="1"/>
    <col min="8194" max="8194" width="4.7109375" style="448" customWidth="1"/>
    <col min="8195" max="8196" width="1.7109375" style="448" customWidth="1"/>
    <col min="8197" max="8197" width="20.7109375" style="448" customWidth="1"/>
    <col min="8198" max="8206" width="9.28515625" style="448" customWidth="1"/>
    <col min="8207" max="8207" width="1.7109375" style="448" customWidth="1"/>
    <col min="8208" max="8208" width="4.7109375" style="448" customWidth="1"/>
    <col min="8209" max="8210" width="2.7109375" style="448" customWidth="1"/>
    <col min="8211" max="8212" width="1.7109375" style="448" customWidth="1"/>
    <col min="8213" max="8213" width="20.7109375" style="448" customWidth="1"/>
    <col min="8214" max="8222" width="9.28515625" style="448" customWidth="1"/>
    <col min="8223" max="8223" width="1.7109375" style="448" customWidth="1"/>
    <col min="8224" max="8448" width="10.7109375" style="448"/>
    <col min="8449" max="8449" width="2.85546875" style="448" customWidth="1"/>
    <col min="8450" max="8450" width="4.7109375" style="448" customWidth="1"/>
    <col min="8451" max="8452" width="1.7109375" style="448" customWidth="1"/>
    <col min="8453" max="8453" width="20.7109375" style="448" customWidth="1"/>
    <col min="8454" max="8462" width="9.28515625" style="448" customWidth="1"/>
    <col min="8463" max="8463" width="1.7109375" style="448" customWidth="1"/>
    <col min="8464" max="8464" width="4.7109375" style="448" customWidth="1"/>
    <col min="8465" max="8466" width="2.7109375" style="448" customWidth="1"/>
    <col min="8467" max="8468" width="1.7109375" style="448" customWidth="1"/>
    <col min="8469" max="8469" width="20.7109375" style="448" customWidth="1"/>
    <col min="8470" max="8478" width="9.28515625" style="448" customWidth="1"/>
    <col min="8479" max="8479" width="1.7109375" style="448" customWidth="1"/>
    <col min="8480" max="8704" width="10.7109375" style="448"/>
    <col min="8705" max="8705" width="2.85546875" style="448" customWidth="1"/>
    <col min="8706" max="8706" width="4.7109375" style="448" customWidth="1"/>
    <col min="8707" max="8708" width="1.7109375" style="448" customWidth="1"/>
    <col min="8709" max="8709" width="20.7109375" style="448" customWidth="1"/>
    <col min="8710" max="8718" width="9.28515625" style="448" customWidth="1"/>
    <col min="8719" max="8719" width="1.7109375" style="448" customWidth="1"/>
    <col min="8720" max="8720" width="4.7109375" style="448" customWidth="1"/>
    <col min="8721" max="8722" width="2.7109375" style="448" customWidth="1"/>
    <col min="8723" max="8724" width="1.7109375" style="448" customWidth="1"/>
    <col min="8725" max="8725" width="20.7109375" style="448" customWidth="1"/>
    <col min="8726" max="8734" width="9.28515625" style="448" customWidth="1"/>
    <col min="8735" max="8735" width="1.7109375" style="448" customWidth="1"/>
    <col min="8736" max="8960" width="10.7109375" style="448"/>
    <col min="8961" max="8961" width="2.85546875" style="448" customWidth="1"/>
    <col min="8962" max="8962" width="4.7109375" style="448" customWidth="1"/>
    <col min="8963" max="8964" width="1.7109375" style="448" customWidth="1"/>
    <col min="8965" max="8965" width="20.7109375" style="448" customWidth="1"/>
    <col min="8966" max="8974" width="9.28515625" style="448" customWidth="1"/>
    <col min="8975" max="8975" width="1.7109375" style="448" customWidth="1"/>
    <col min="8976" max="8976" width="4.7109375" style="448" customWidth="1"/>
    <col min="8977" max="8978" width="2.7109375" style="448" customWidth="1"/>
    <col min="8979" max="8980" width="1.7109375" style="448" customWidth="1"/>
    <col min="8981" max="8981" width="20.7109375" style="448" customWidth="1"/>
    <col min="8982" max="8990" width="9.28515625" style="448" customWidth="1"/>
    <col min="8991" max="8991" width="1.7109375" style="448" customWidth="1"/>
    <col min="8992" max="9216" width="10.7109375" style="448"/>
    <col min="9217" max="9217" width="2.85546875" style="448" customWidth="1"/>
    <col min="9218" max="9218" width="4.7109375" style="448" customWidth="1"/>
    <col min="9219" max="9220" width="1.7109375" style="448" customWidth="1"/>
    <col min="9221" max="9221" width="20.7109375" style="448" customWidth="1"/>
    <col min="9222" max="9230" width="9.28515625" style="448" customWidth="1"/>
    <col min="9231" max="9231" width="1.7109375" style="448" customWidth="1"/>
    <col min="9232" max="9232" width="4.7109375" style="448" customWidth="1"/>
    <col min="9233" max="9234" width="2.7109375" style="448" customWidth="1"/>
    <col min="9235" max="9236" width="1.7109375" style="448" customWidth="1"/>
    <col min="9237" max="9237" width="20.7109375" style="448" customWidth="1"/>
    <col min="9238" max="9246" width="9.28515625" style="448" customWidth="1"/>
    <col min="9247" max="9247" width="1.7109375" style="448" customWidth="1"/>
    <col min="9248" max="9472" width="10.7109375" style="448"/>
    <col min="9473" max="9473" width="2.85546875" style="448" customWidth="1"/>
    <col min="9474" max="9474" width="4.7109375" style="448" customWidth="1"/>
    <col min="9475" max="9476" width="1.7109375" style="448" customWidth="1"/>
    <col min="9477" max="9477" width="20.7109375" style="448" customWidth="1"/>
    <col min="9478" max="9486" width="9.28515625" style="448" customWidth="1"/>
    <col min="9487" max="9487" width="1.7109375" style="448" customWidth="1"/>
    <col min="9488" max="9488" width="4.7109375" style="448" customWidth="1"/>
    <col min="9489" max="9490" width="2.7109375" style="448" customWidth="1"/>
    <col min="9491" max="9492" width="1.7109375" style="448" customWidth="1"/>
    <col min="9493" max="9493" width="20.7109375" style="448" customWidth="1"/>
    <col min="9494" max="9502" width="9.28515625" style="448" customWidth="1"/>
    <col min="9503" max="9503" width="1.7109375" style="448" customWidth="1"/>
    <col min="9504" max="9728" width="10.7109375" style="448"/>
    <col min="9729" max="9729" width="2.85546875" style="448" customWidth="1"/>
    <col min="9730" max="9730" width="4.7109375" style="448" customWidth="1"/>
    <col min="9731" max="9732" width="1.7109375" style="448" customWidth="1"/>
    <col min="9733" max="9733" width="20.7109375" style="448" customWidth="1"/>
    <col min="9734" max="9742" width="9.28515625" style="448" customWidth="1"/>
    <col min="9743" max="9743" width="1.7109375" style="448" customWidth="1"/>
    <col min="9744" max="9744" width="4.7109375" style="448" customWidth="1"/>
    <col min="9745" max="9746" width="2.7109375" style="448" customWidth="1"/>
    <col min="9747" max="9748" width="1.7109375" style="448" customWidth="1"/>
    <col min="9749" max="9749" width="20.7109375" style="448" customWidth="1"/>
    <col min="9750" max="9758" width="9.28515625" style="448" customWidth="1"/>
    <col min="9759" max="9759" width="1.7109375" style="448" customWidth="1"/>
    <col min="9760" max="9984" width="10.7109375" style="448"/>
    <col min="9985" max="9985" width="2.85546875" style="448" customWidth="1"/>
    <col min="9986" max="9986" width="4.7109375" style="448" customWidth="1"/>
    <col min="9987" max="9988" width="1.7109375" style="448" customWidth="1"/>
    <col min="9989" max="9989" width="20.7109375" style="448" customWidth="1"/>
    <col min="9990" max="9998" width="9.28515625" style="448" customWidth="1"/>
    <col min="9999" max="9999" width="1.7109375" style="448" customWidth="1"/>
    <col min="10000" max="10000" width="4.7109375" style="448" customWidth="1"/>
    <col min="10001" max="10002" width="2.7109375" style="448" customWidth="1"/>
    <col min="10003" max="10004" width="1.7109375" style="448" customWidth="1"/>
    <col min="10005" max="10005" width="20.7109375" style="448" customWidth="1"/>
    <col min="10006" max="10014" width="9.28515625" style="448" customWidth="1"/>
    <col min="10015" max="10015" width="1.7109375" style="448" customWidth="1"/>
    <col min="10016" max="10240" width="10.7109375" style="448"/>
    <col min="10241" max="10241" width="2.85546875" style="448" customWidth="1"/>
    <col min="10242" max="10242" width="4.7109375" style="448" customWidth="1"/>
    <col min="10243" max="10244" width="1.7109375" style="448" customWidth="1"/>
    <col min="10245" max="10245" width="20.7109375" style="448" customWidth="1"/>
    <col min="10246" max="10254" width="9.28515625" style="448" customWidth="1"/>
    <col min="10255" max="10255" width="1.7109375" style="448" customWidth="1"/>
    <col min="10256" max="10256" width="4.7109375" style="448" customWidth="1"/>
    <col min="10257" max="10258" width="2.7109375" style="448" customWidth="1"/>
    <col min="10259" max="10260" width="1.7109375" style="448" customWidth="1"/>
    <col min="10261" max="10261" width="20.7109375" style="448" customWidth="1"/>
    <col min="10262" max="10270" width="9.28515625" style="448" customWidth="1"/>
    <col min="10271" max="10271" width="1.7109375" style="448" customWidth="1"/>
    <col min="10272" max="10496" width="10.7109375" style="448"/>
    <col min="10497" max="10497" width="2.85546875" style="448" customWidth="1"/>
    <col min="10498" max="10498" width="4.7109375" style="448" customWidth="1"/>
    <col min="10499" max="10500" width="1.7109375" style="448" customWidth="1"/>
    <col min="10501" max="10501" width="20.7109375" style="448" customWidth="1"/>
    <col min="10502" max="10510" width="9.28515625" style="448" customWidth="1"/>
    <col min="10511" max="10511" width="1.7109375" style="448" customWidth="1"/>
    <col min="10512" max="10512" width="4.7109375" style="448" customWidth="1"/>
    <col min="10513" max="10514" width="2.7109375" style="448" customWidth="1"/>
    <col min="10515" max="10516" width="1.7109375" style="448" customWidth="1"/>
    <col min="10517" max="10517" width="20.7109375" style="448" customWidth="1"/>
    <col min="10518" max="10526" width="9.28515625" style="448" customWidth="1"/>
    <col min="10527" max="10527" width="1.7109375" style="448" customWidth="1"/>
    <col min="10528" max="10752" width="10.7109375" style="448"/>
    <col min="10753" max="10753" width="2.85546875" style="448" customWidth="1"/>
    <col min="10754" max="10754" width="4.7109375" style="448" customWidth="1"/>
    <col min="10755" max="10756" width="1.7109375" style="448" customWidth="1"/>
    <col min="10757" max="10757" width="20.7109375" style="448" customWidth="1"/>
    <col min="10758" max="10766" width="9.28515625" style="448" customWidth="1"/>
    <col min="10767" max="10767" width="1.7109375" style="448" customWidth="1"/>
    <col min="10768" max="10768" width="4.7109375" style="448" customWidth="1"/>
    <col min="10769" max="10770" width="2.7109375" style="448" customWidth="1"/>
    <col min="10771" max="10772" width="1.7109375" style="448" customWidth="1"/>
    <col min="10773" max="10773" width="20.7109375" style="448" customWidth="1"/>
    <col min="10774" max="10782" width="9.28515625" style="448" customWidth="1"/>
    <col min="10783" max="10783" width="1.7109375" style="448" customWidth="1"/>
    <col min="10784" max="11008" width="10.7109375" style="448"/>
    <col min="11009" max="11009" width="2.85546875" style="448" customWidth="1"/>
    <col min="11010" max="11010" width="4.7109375" style="448" customWidth="1"/>
    <col min="11011" max="11012" width="1.7109375" style="448" customWidth="1"/>
    <col min="11013" max="11013" width="20.7109375" style="448" customWidth="1"/>
    <col min="11014" max="11022" width="9.28515625" style="448" customWidth="1"/>
    <col min="11023" max="11023" width="1.7109375" style="448" customWidth="1"/>
    <col min="11024" max="11024" width="4.7109375" style="448" customWidth="1"/>
    <col min="11025" max="11026" width="2.7109375" style="448" customWidth="1"/>
    <col min="11027" max="11028" width="1.7109375" style="448" customWidth="1"/>
    <col min="11029" max="11029" width="20.7109375" style="448" customWidth="1"/>
    <col min="11030" max="11038" width="9.28515625" style="448" customWidth="1"/>
    <col min="11039" max="11039" width="1.7109375" style="448" customWidth="1"/>
    <col min="11040" max="11264" width="10.7109375" style="448"/>
    <col min="11265" max="11265" width="2.85546875" style="448" customWidth="1"/>
    <col min="11266" max="11266" width="4.7109375" style="448" customWidth="1"/>
    <col min="11267" max="11268" width="1.7109375" style="448" customWidth="1"/>
    <col min="11269" max="11269" width="20.7109375" style="448" customWidth="1"/>
    <col min="11270" max="11278" width="9.28515625" style="448" customWidth="1"/>
    <col min="11279" max="11279" width="1.7109375" style="448" customWidth="1"/>
    <col min="11280" max="11280" width="4.7109375" style="448" customWidth="1"/>
    <col min="11281" max="11282" width="2.7109375" style="448" customWidth="1"/>
    <col min="11283" max="11284" width="1.7109375" style="448" customWidth="1"/>
    <col min="11285" max="11285" width="20.7109375" style="448" customWidth="1"/>
    <col min="11286" max="11294" width="9.28515625" style="448" customWidth="1"/>
    <col min="11295" max="11295" width="1.7109375" style="448" customWidth="1"/>
    <col min="11296" max="11520" width="10.7109375" style="448"/>
    <col min="11521" max="11521" width="2.85546875" style="448" customWidth="1"/>
    <col min="11522" max="11522" width="4.7109375" style="448" customWidth="1"/>
    <col min="11523" max="11524" width="1.7109375" style="448" customWidth="1"/>
    <col min="11525" max="11525" width="20.7109375" style="448" customWidth="1"/>
    <col min="11526" max="11534" width="9.28515625" style="448" customWidth="1"/>
    <col min="11535" max="11535" width="1.7109375" style="448" customWidth="1"/>
    <col min="11536" max="11536" width="4.7109375" style="448" customWidth="1"/>
    <col min="11537" max="11538" width="2.7109375" style="448" customWidth="1"/>
    <col min="11539" max="11540" width="1.7109375" style="448" customWidth="1"/>
    <col min="11541" max="11541" width="20.7109375" style="448" customWidth="1"/>
    <col min="11542" max="11550" width="9.28515625" style="448" customWidth="1"/>
    <col min="11551" max="11551" width="1.7109375" style="448" customWidth="1"/>
    <col min="11552" max="11776" width="10.7109375" style="448"/>
    <col min="11777" max="11777" width="2.85546875" style="448" customWidth="1"/>
    <col min="11778" max="11778" width="4.7109375" style="448" customWidth="1"/>
    <col min="11779" max="11780" width="1.7109375" style="448" customWidth="1"/>
    <col min="11781" max="11781" width="20.7109375" style="448" customWidth="1"/>
    <col min="11782" max="11790" width="9.28515625" style="448" customWidth="1"/>
    <col min="11791" max="11791" width="1.7109375" style="448" customWidth="1"/>
    <col min="11792" max="11792" width="4.7109375" style="448" customWidth="1"/>
    <col min="11793" max="11794" width="2.7109375" style="448" customWidth="1"/>
    <col min="11795" max="11796" width="1.7109375" style="448" customWidth="1"/>
    <col min="11797" max="11797" width="20.7109375" style="448" customWidth="1"/>
    <col min="11798" max="11806" width="9.28515625" style="448" customWidth="1"/>
    <col min="11807" max="11807" width="1.7109375" style="448" customWidth="1"/>
    <col min="11808" max="12032" width="10.7109375" style="448"/>
    <col min="12033" max="12033" width="2.85546875" style="448" customWidth="1"/>
    <col min="12034" max="12034" width="4.7109375" style="448" customWidth="1"/>
    <col min="12035" max="12036" width="1.7109375" style="448" customWidth="1"/>
    <col min="12037" max="12037" width="20.7109375" style="448" customWidth="1"/>
    <col min="12038" max="12046" width="9.28515625" style="448" customWidth="1"/>
    <col min="12047" max="12047" width="1.7109375" style="448" customWidth="1"/>
    <col min="12048" max="12048" width="4.7109375" style="448" customWidth="1"/>
    <col min="12049" max="12050" width="2.7109375" style="448" customWidth="1"/>
    <col min="12051" max="12052" width="1.7109375" style="448" customWidth="1"/>
    <col min="12053" max="12053" width="20.7109375" style="448" customWidth="1"/>
    <col min="12054" max="12062" width="9.28515625" style="448" customWidth="1"/>
    <col min="12063" max="12063" width="1.7109375" style="448" customWidth="1"/>
    <col min="12064" max="12288" width="10.7109375" style="448"/>
    <col min="12289" max="12289" width="2.85546875" style="448" customWidth="1"/>
    <col min="12290" max="12290" width="4.7109375" style="448" customWidth="1"/>
    <col min="12291" max="12292" width="1.7109375" style="448" customWidth="1"/>
    <col min="12293" max="12293" width="20.7109375" style="448" customWidth="1"/>
    <col min="12294" max="12302" width="9.28515625" style="448" customWidth="1"/>
    <col min="12303" max="12303" width="1.7109375" style="448" customWidth="1"/>
    <col min="12304" max="12304" width="4.7109375" style="448" customWidth="1"/>
    <col min="12305" max="12306" width="2.7109375" style="448" customWidth="1"/>
    <col min="12307" max="12308" width="1.7109375" style="448" customWidth="1"/>
    <col min="12309" max="12309" width="20.7109375" style="448" customWidth="1"/>
    <col min="12310" max="12318" width="9.28515625" style="448" customWidth="1"/>
    <col min="12319" max="12319" width="1.7109375" style="448" customWidth="1"/>
    <col min="12320" max="12544" width="10.7109375" style="448"/>
    <col min="12545" max="12545" width="2.85546875" style="448" customWidth="1"/>
    <col min="12546" max="12546" width="4.7109375" style="448" customWidth="1"/>
    <col min="12547" max="12548" width="1.7109375" style="448" customWidth="1"/>
    <col min="12549" max="12549" width="20.7109375" style="448" customWidth="1"/>
    <col min="12550" max="12558" width="9.28515625" style="448" customWidth="1"/>
    <col min="12559" max="12559" width="1.7109375" style="448" customWidth="1"/>
    <col min="12560" max="12560" width="4.7109375" style="448" customWidth="1"/>
    <col min="12561" max="12562" width="2.7109375" style="448" customWidth="1"/>
    <col min="12563" max="12564" width="1.7109375" style="448" customWidth="1"/>
    <col min="12565" max="12565" width="20.7109375" style="448" customWidth="1"/>
    <col min="12566" max="12574" width="9.28515625" style="448" customWidth="1"/>
    <col min="12575" max="12575" width="1.7109375" style="448" customWidth="1"/>
    <col min="12576" max="12800" width="10.7109375" style="448"/>
    <col min="12801" max="12801" width="2.85546875" style="448" customWidth="1"/>
    <col min="12802" max="12802" width="4.7109375" style="448" customWidth="1"/>
    <col min="12803" max="12804" width="1.7109375" style="448" customWidth="1"/>
    <col min="12805" max="12805" width="20.7109375" style="448" customWidth="1"/>
    <col min="12806" max="12814" width="9.28515625" style="448" customWidth="1"/>
    <col min="12815" max="12815" width="1.7109375" style="448" customWidth="1"/>
    <col min="12816" max="12816" width="4.7109375" style="448" customWidth="1"/>
    <col min="12817" max="12818" width="2.7109375" style="448" customWidth="1"/>
    <col min="12819" max="12820" width="1.7109375" style="448" customWidth="1"/>
    <col min="12821" max="12821" width="20.7109375" style="448" customWidth="1"/>
    <col min="12822" max="12830" width="9.28515625" style="448" customWidth="1"/>
    <col min="12831" max="12831" width="1.7109375" style="448" customWidth="1"/>
    <col min="12832" max="13056" width="10.7109375" style="448"/>
    <col min="13057" max="13057" width="2.85546875" style="448" customWidth="1"/>
    <col min="13058" max="13058" width="4.7109375" style="448" customWidth="1"/>
    <col min="13059" max="13060" width="1.7109375" style="448" customWidth="1"/>
    <col min="13061" max="13061" width="20.7109375" style="448" customWidth="1"/>
    <col min="13062" max="13070" width="9.28515625" style="448" customWidth="1"/>
    <col min="13071" max="13071" width="1.7109375" style="448" customWidth="1"/>
    <col min="13072" max="13072" width="4.7109375" style="448" customWidth="1"/>
    <col min="13073" max="13074" width="2.7109375" style="448" customWidth="1"/>
    <col min="13075" max="13076" width="1.7109375" style="448" customWidth="1"/>
    <col min="13077" max="13077" width="20.7109375" style="448" customWidth="1"/>
    <col min="13078" max="13086" width="9.28515625" style="448" customWidth="1"/>
    <col min="13087" max="13087" width="1.7109375" style="448" customWidth="1"/>
    <col min="13088" max="13312" width="10.7109375" style="448"/>
    <col min="13313" max="13313" width="2.85546875" style="448" customWidth="1"/>
    <col min="13314" max="13314" width="4.7109375" style="448" customWidth="1"/>
    <col min="13315" max="13316" width="1.7109375" style="448" customWidth="1"/>
    <col min="13317" max="13317" width="20.7109375" style="448" customWidth="1"/>
    <col min="13318" max="13326" width="9.28515625" style="448" customWidth="1"/>
    <col min="13327" max="13327" width="1.7109375" style="448" customWidth="1"/>
    <col min="13328" max="13328" width="4.7109375" style="448" customWidth="1"/>
    <col min="13329" max="13330" width="2.7109375" style="448" customWidth="1"/>
    <col min="13331" max="13332" width="1.7109375" style="448" customWidth="1"/>
    <col min="13333" max="13333" width="20.7109375" style="448" customWidth="1"/>
    <col min="13334" max="13342" width="9.28515625" style="448" customWidth="1"/>
    <col min="13343" max="13343" width="1.7109375" style="448" customWidth="1"/>
    <col min="13344" max="13568" width="10.7109375" style="448"/>
    <col min="13569" max="13569" width="2.85546875" style="448" customWidth="1"/>
    <col min="13570" max="13570" width="4.7109375" style="448" customWidth="1"/>
    <col min="13571" max="13572" width="1.7109375" style="448" customWidth="1"/>
    <col min="13573" max="13573" width="20.7109375" style="448" customWidth="1"/>
    <col min="13574" max="13582" width="9.28515625" style="448" customWidth="1"/>
    <col min="13583" max="13583" width="1.7109375" style="448" customWidth="1"/>
    <col min="13584" max="13584" width="4.7109375" style="448" customWidth="1"/>
    <col min="13585" max="13586" width="2.7109375" style="448" customWidth="1"/>
    <col min="13587" max="13588" width="1.7109375" style="448" customWidth="1"/>
    <col min="13589" max="13589" width="20.7109375" style="448" customWidth="1"/>
    <col min="13590" max="13598" width="9.28515625" style="448" customWidth="1"/>
    <col min="13599" max="13599" width="1.7109375" style="448" customWidth="1"/>
    <col min="13600" max="13824" width="10.7109375" style="448"/>
    <col min="13825" max="13825" width="2.85546875" style="448" customWidth="1"/>
    <col min="13826" max="13826" width="4.7109375" style="448" customWidth="1"/>
    <col min="13827" max="13828" width="1.7109375" style="448" customWidth="1"/>
    <col min="13829" max="13829" width="20.7109375" style="448" customWidth="1"/>
    <col min="13830" max="13838" width="9.28515625" style="448" customWidth="1"/>
    <col min="13839" max="13839" width="1.7109375" style="448" customWidth="1"/>
    <col min="13840" max="13840" width="4.7109375" style="448" customWidth="1"/>
    <col min="13841" max="13842" width="2.7109375" style="448" customWidth="1"/>
    <col min="13843" max="13844" width="1.7109375" style="448" customWidth="1"/>
    <col min="13845" max="13845" width="20.7109375" style="448" customWidth="1"/>
    <col min="13846" max="13854" width="9.28515625" style="448" customWidth="1"/>
    <col min="13855" max="13855" width="1.7109375" style="448" customWidth="1"/>
    <col min="13856" max="14080" width="10.7109375" style="448"/>
    <col min="14081" max="14081" width="2.85546875" style="448" customWidth="1"/>
    <col min="14082" max="14082" width="4.7109375" style="448" customWidth="1"/>
    <col min="14083" max="14084" width="1.7109375" style="448" customWidth="1"/>
    <col min="14085" max="14085" width="20.7109375" style="448" customWidth="1"/>
    <col min="14086" max="14094" width="9.28515625" style="448" customWidth="1"/>
    <col min="14095" max="14095" width="1.7109375" style="448" customWidth="1"/>
    <col min="14096" max="14096" width="4.7109375" style="448" customWidth="1"/>
    <col min="14097" max="14098" width="2.7109375" style="448" customWidth="1"/>
    <col min="14099" max="14100" width="1.7109375" style="448" customWidth="1"/>
    <col min="14101" max="14101" width="20.7109375" style="448" customWidth="1"/>
    <col min="14102" max="14110" width="9.28515625" style="448" customWidth="1"/>
    <col min="14111" max="14111" width="1.7109375" style="448" customWidth="1"/>
    <col min="14112" max="14336" width="10.7109375" style="448"/>
    <col min="14337" max="14337" width="2.85546875" style="448" customWidth="1"/>
    <col min="14338" max="14338" width="4.7109375" style="448" customWidth="1"/>
    <col min="14339" max="14340" width="1.7109375" style="448" customWidth="1"/>
    <col min="14341" max="14341" width="20.7109375" style="448" customWidth="1"/>
    <col min="14342" max="14350" width="9.28515625" style="448" customWidth="1"/>
    <col min="14351" max="14351" width="1.7109375" style="448" customWidth="1"/>
    <col min="14352" max="14352" width="4.7109375" style="448" customWidth="1"/>
    <col min="14353" max="14354" width="2.7109375" style="448" customWidth="1"/>
    <col min="14355" max="14356" width="1.7109375" style="448" customWidth="1"/>
    <col min="14357" max="14357" width="20.7109375" style="448" customWidth="1"/>
    <col min="14358" max="14366" width="9.28515625" style="448" customWidth="1"/>
    <col min="14367" max="14367" width="1.7109375" style="448" customWidth="1"/>
    <col min="14368" max="14592" width="10.7109375" style="448"/>
    <col min="14593" max="14593" width="2.85546875" style="448" customWidth="1"/>
    <col min="14594" max="14594" width="4.7109375" style="448" customWidth="1"/>
    <col min="14595" max="14596" width="1.7109375" style="448" customWidth="1"/>
    <col min="14597" max="14597" width="20.7109375" style="448" customWidth="1"/>
    <col min="14598" max="14606" width="9.28515625" style="448" customWidth="1"/>
    <col min="14607" max="14607" width="1.7109375" style="448" customWidth="1"/>
    <col min="14608" max="14608" width="4.7109375" style="448" customWidth="1"/>
    <col min="14609" max="14610" width="2.7109375" style="448" customWidth="1"/>
    <col min="14611" max="14612" width="1.7109375" style="448" customWidth="1"/>
    <col min="14613" max="14613" width="20.7109375" style="448" customWidth="1"/>
    <col min="14614" max="14622" width="9.28515625" style="448" customWidth="1"/>
    <col min="14623" max="14623" width="1.7109375" style="448" customWidth="1"/>
    <col min="14624" max="14848" width="10.7109375" style="448"/>
    <col min="14849" max="14849" width="2.85546875" style="448" customWidth="1"/>
    <col min="14850" max="14850" width="4.7109375" style="448" customWidth="1"/>
    <col min="14851" max="14852" width="1.7109375" style="448" customWidth="1"/>
    <col min="14853" max="14853" width="20.7109375" style="448" customWidth="1"/>
    <col min="14854" max="14862" width="9.28515625" style="448" customWidth="1"/>
    <col min="14863" max="14863" width="1.7109375" style="448" customWidth="1"/>
    <col min="14864" max="14864" width="4.7109375" style="448" customWidth="1"/>
    <col min="14865" max="14866" width="2.7109375" style="448" customWidth="1"/>
    <col min="14867" max="14868" width="1.7109375" style="448" customWidth="1"/>
    <col min="14869" max="14869" width="20.7109375" style="448" customWidth="1"/>
    <col min="14870" max="14878" width="9.28515625" style="448" customWidth="1"/>
    <col min="14879" max="14879" width="1.7109375" style="448" customWidth="1"/>
    <col min="14880" max="15104" width="10.7109375" style="448"/>
    <col min="15105" max="15105" width="2.85546875" style="448" customWidth="1"/>
    <col min="15106" max="15106" width="4.7109375" style="448" customWidth="1"/>
    <col min="15107" max="15108" width="1.7109375" style="448" customWidth="1"/>
    <col min="15109" max="15109" width="20.7109375" style="448" customWidth="1"/>
    <col min="15110" max="15118" width="9.28515625" style="448" customWidth="1"/>
    <col min="15119" max="15119" width="1.7109375" style="448" customWidth="1"/>
    <col min="15120" max="15120" width="4.7109375" style="448" customWidth="1"/>
    <col min="15121" max="15122" width="2.7109375" style="448" customWidth="1"/>
    <col min="15123" max="15124" width="1.7109375" style="448" customWidth="1"/>
    <col min="15125" max="15125" width="20.7109375" style="448" customWidth="1"/>
    <col min="15126" max="15134" width="9.28515625" style="448" customWidth="1"/>
    <col min="15135" max="15135" width="1.7109375" style="448" customWidth="1"/>
    <col min="15136" max="15360" width="10.7109375" style="448"/>
    <col min="15361" max="15361" width="2.85546875" style="448" customWidth="1"/>
    <col min="15362" max="15362" width="4.7109375" style="448" customWidth="1"/>
    <col min="15363" max="15364" width="1.7109375" style="448" customWidth="1"/>
    <col min="15365" max="15365" width="20.7109375" style="448" customWidth="1"/>
    <col min="15366" max="15374" width="9.28515625" style="448" customWidth="1"/>
    <col min="15375" max="15375" width="1.7109375" style="448" customWidth="1"/>
    <col min="15376" max="15376" width="4.7109375" style="448" customWidth="1"/>
    <col min="15377" max="15378" width="2.7109375" style="448" customWidth="1"/>
    <col min="15379" max="15380" width="1.7109375" style="448" customWidth="1"/>
    <col min="15381" max="15381" width="20.7109375" style="448" customWidth="1"/>
    <col min="15382" max="15390" width="9.28515625" style="448" customWidth="1"/>
    <col min="15391" max="15391" width="1.7109375" style="448" customWidth="1"/>
    <col min="15392" max="15616" width="10.7109375" style="448"/>
    <col min="15617" max="15617" width="2.85546875" style="448" customWidth="1"/>
    <col min="15618" max="15618" width="4.7109375" style="448" customWidth="1"/>
    <col min="15619" max="15620" width="1.7109375" style="448" customWidth="1"/>
    <col min="15621" max="15621" width="20.7109375" style="448" customWidth="1"/>
    <col min="15622" max="15630" width="9.28515625" style="448" customWidth="1"/>
    <col min="15631" max="15631" width="1.7109375" style="448" customWidth="1"/>
    <col min="15632" max="15632" width="4.7109375" style="448" customWidth="1"/>
    <col min="15633" max="15634" width="2.7109375" style="448" customWidth="1"/>
    <col min="15635" max="15636" width="1.7109375" style="448" customWidth="1"/>
    <col min="15637" max="15637" width="20.7109375" style="448" customWidth="1"/>
    <col min="15638" max="15646" width="9.28515625" style="448" customWidth="1"/>
    <col min="15647" max="15647" width="1.7109375" style="448" customWidth="1"/>
    <col min="15648" max="15872" width="10.7109375" style="448"/>
    <col min="15873" max="15873" width="2.85546875" style="448" customWidth="1"/>
    <col min="15874" max="15874" width="4.7109375" style="448" customWidth="1"/>
    <col min="15875" max="15876" width="1.7109375" style="448" customWidth="1"/>
    <col min="15877" max="15877" width="20.7109375" style="448" customWidth="1"/>
    <col min="15878" max="15886" width="9.28515625" style="448" customWidth="1"/>
    <col min="15887" max="15887" width="1.7109375" style="448" customWidth="1"/>
    <col min="15888" max="15888" width="4.7109375" style="448" customWidth="1"/>
    <col min="15889" max="15890" width="2.7109375" style="448" customWidth="1"/>
    <col min="15891" max="15892" width="1.7109375" style="448" customWidth="1"/>
    <col min="15893" max="15893" width="20.7109375" style="448" customWidth="1"/>
    <col min="15894" max="15902" width="9.28515625" style="448" customWidth="1"/>
    <col min="15903" max="15903" width="1.7109375" style="448" customWidth="1"/>
    <col min="15904" max="16128" width="10.7109375" style="448"/>
    <col min="16129" max="16129" width="2.85546875" style="448" customWidth="1"/>
    <col min="16130" max="16130" width="4.7109375" style="448" customWidth="1"/>
    <col min="16131" max="16132" width="1.7109375" style="448" customWidth="1"/>
    <col min="16133" max="16133" width="20.7109375" style="448" customWidth="1"/>
    <col min="16134" max="16142" width="9.28515625" style="448" customWidth="1"/>
    <col min="16143" max="16143" width="1.7109375" style="448" customWidth="1"/>
    <col min="16144" max="16144" width="4.7109375" style="448" customWidth="1"/>
    <col min="16145" max="16146" width="2.7109375" style="448" customWidth="1"/>
    <col min="16147" max="16148" width="1.7109375" style="448" customWidth="1"/>
    <col min="16149" max="16149" width="20.7109375" style="448" customWidth="1"/>
    <col min="16150" max="16158" width="9.28515625" style="448" customWidth="1"/>
    <col min="16159" max="16159" width="1.7109375" style="448" customWidth="1"/>
    <col min="16160" max="16384" width="10.7109375" style="448"/>
  </cols>
  <sheetData>
    <row r="1" spans="1:30">
      <c r="A1" s="446"/>
      <c r="B1" s="447"/>
      <c r="S1" s="449"/>
      <c r="T1" s="449"/>
      <c r="U1" s="449"/>
      <c r="V1" s="449"/>
      <c r="W1" s="449"/>
      <c r="X1" s="449"/>
      <c r="Y1" s="449"/>
      <c r="Z1" s="449"/>
      <c r="AA1" s="449"/>
      <c r="AB1" s="449"/>
      <c r="AC1" s="449"/>
      <c r="AD1" s="449"/>
    </row>
    <row r="2" spans="1:30" ht="22.7" customHeight="1">
      <c r="B2" s="450" t="str">
        <f>Cover!B12</f>
        <v>Your Company Name</v>
      </c>
      <c r="C2" s="451"/>
      <c r="D2" s="451"/>
      <c r="E2" s="451"/>
      <c r="F2" s="451"/>
      <c r="G2" s="452"/>
      <c r="H2" s="452"/>
      <c r="I2" s="452"/>
      <c r="J2" s="452"/>
      <c r="K2" s="452"/>
      <c r="L2" s="452"/>
      <c r="M2" s="452"/>
      <c r="N2" s="452"/>
      <c r="O2" s="452"/>
      <c r="P2" s="452"/>
      <c r="S2" s="453"/>
      <c r="T2" s="453"/>
      <c r="U2" s="453"/>
      <c r="V2" s="453"/>
      <c r="W2" s="454"/>
      <c r="X2" s="454"/>
      <c r="Y2" s="454"/>
      <c r="Z2" s="454"/>
      <c r="AA2" s="454"/>
      <c r="AB2" s="454"/>
      <c r="AC2" s="454"/>
      <c r="AD2" s="454"/>
    </row>
    <row r="3" spans="1:30" ht="18.75">
      <c r="B3" s="455" t="s">
        <v>269</v>
      </c>
      <c r="C3" s="455"/>
      <c r="D3" s="455"/>
      <c r="E3" s="455"/>
      <c r="F3" s="455"/>
      <c r="G3" s="455"/>
      <c r="H3" s="455"/>
      <c r="I3" s="455"/>
      <c r="J3" s="455"/>
      <c r="K3" s="455"/>
      <c r="L3" s="455"/>
      <c r="M3" s="455"/>
      <c r="N3" s="455"/>
      <c r="O3" s="455"/>
      <c r="P3" s="455"/>
      <c r="S3" s="456"/>
      <c r="T3" s="456"/>
      <c r="U3" s="456"/>
      <c r="V3" s="456"/>
      <c r="W3" s="456"/>
      <c r="X3" s="456"/>
      <c r="Y3" s="456"/>
      <c r="Z3" s="456"/>
      <c r="AA3" s="456"/>
      <c r="AB3" s="456"/>
      <c r="AC3" s="456"/>
      <c r="AD3" s="456"/>
    </row>
    <row r="4" spans="1:30" ht="3" customHeight="1" thickBot="1">
      <c r="B4" s="457"/>
      <c r="C4" s="457"/>
      <c r="D4" s="457"/>
      <c r="E4" s="457"/>
      <c r="F4" s="457"/>
      <c r="G4" s="457"/>
      <c r="H4" s="457"/>
      <c r="I4" s="457"/>
      <c r="J4" s="457"/>
      <c r="K4" s="457"/>
      <c r="L4" s="457"/>
      <c r="M4" s="457"/>
      <c r="N4" s="457"/>
      <c r="O4" s="457"/>
      <c r="P4" s="457"/>
      <c r="S4" s="449"/>
      <c r="T4" s="449"/>
      <c r="U4" s="449"/>
      <c r="V4" s="449"/>
      <c r="W4" s="449"/>
      <c r="X4" s="449"/>
      <c r="Y4" s="449"/>
      <c r="Z4" s="449"/>
      <c r="AA4" s="449"/>
      <c r="AB4" s="449"/>
      <c r="AC4" s="449"/>
      <c r="AD4" s="449"/>
    </row>
    <row r="5" spans="1:30" ht="12" customHeight="1">
      <c r="C5" s="458"/>
      <c r="D5" s="458"/>
      <c r="E5" s="458"/>
      <c r="F5" s="458"/>
      <c r="G5" s="459"/>
      <c r="H5" s="459"/>
      <c r="I5" s="459"/>
      <c r="J5" s="459"/>
      <c r="K5" s="459"/>
      <c r="L5" s="459"/>
      <c r="M5" s="458"/>
      <c r="N5" s="458"/>
      <c r="O5" s="458"/>
      <c r="S5" s="458"/>
      <c r="T5" s="458"/>
      <c r="U5" s="458"/>
      <c r="V5" s="458"/>
      <c r="W5" s="459"/>
      <c r="X5" s="459"/>
      <c r="Y5" s="459"/>
      <c r="Z5" s="459"/>
      <c r="AA5" s="459"/>
      <c r="AB5" s="459"/>
      <c r="AC5" s="458"/>
      <c r="AD5" s="458"/>
    </row>
    <row r="6" spans="1:30" ht="15.75" customHeight="1">
      <c r="C6" s="460" t="s">
        <v>270</v>
      </c>
      <c r="D6" s="461"/>
      <c r="E6" s="461"/>
      <c r="F6" s="461"/>
      <c r="G6" s="459"/>
      <c r="H6" s="459"/>
      <c r="I6" s="459"/>
      <c r="J6" s="459"/>
      <c r="K6" s="459"/>
      <c r="L6" s="459"/>
      <c r="M6" s="459"/>
      <c r="N6" s="459"/>
      <c r="O6" s="459"/>
      <c r="S6" s="460" t="str">
        <f>"SUMMMARY VALUES - "&amp;UPPER(CHOOSE(Scenarios!D6,Scenarios!C13,Scenarios!C14,Scenarios!C15))</f>
        <v>SUMMMARY VALUES - BASE CASE</v>
      </c>
      <c r="T6" s="461"/>
      <c r="U6" s="461"/>
      <c r="V6" s="461"/>
      <c r="W6" s="459"/>
      <c r="X6" s="459"/>
      <c r="Y6" s="459"/>
      <c r="Z6" s="459"/>
      <c r="AA6" s="459"/>
      <c r="AB6" s="459"/>
      <c r="AC6" s="459"/>
      <c r="AD6" s="459"/>
    </row>
    <row r="7" spans="1:30" ht="3" customHeight="1">
      <c r="C7" s="461"/>
      <c r="D7" s="461"/>
      <c r="E7" s="461"/>
      <c r="F7" s="461"/>
      <c r="G7" s="459"/>
      <c r="H7" s="459"/>
      <c r="I7" s="459"/>
      <c r="J7" s="459"/>
      <c r="K7" s="459"/>
      <c r="L7" s="459"/>
      <c r="M7" s="459"/>
      <c r="N7" s="459"/>
      <c r="O7" s="459"/>
      <c r="S7" s="461"/>
      <c r="T7" s="461"/>
      <c r="U7" s="461"/>
      <c r="V7" s="461"/>
      <c r="W7" s="459"/>
      <c r="X7" s="459"/>
      <c r="Y7" s="459"/>
      <c r="Z7" s="459"/>
      <c r="AA7" s="459"/>
      <c r="AB7" s="459"/>
      <c r="AC7" s="459"/>
      <c r="AD7" s="459"/>
    </row>
    <row r="8" spans="1:30">
      <c r="J8" s="462" t="s">
        <v>5</v>
      </c>
      <c r="K8" s="463"/>
      <c r="L8" s="463"/>
      <c r="M8" s="463"/>
      <c r="N8" s="463"/>
      <c r="Z8" s="462" t="s">
        <v>5</v>
      </c>
      <c r="AA8" s="463"/>
      <c r="AB8" s="463"/>
      <c r="AC8" s="463"/>
      <c r="AD8" s="463"/>
    </row>
    <row r="9" spans="1:30">
      <c r="C9" s="449"/>
      <c r="D9" s="464"/>
      <c r="E9" s="464"/>
      <c r="F9" s="464"/>
      <c r="G9" s="465">
        <f t="shared" ref="G9:N9" si="0">W9</f>
        <v>2017</v>
      </c>
      <c r="H9" s="465">
        <f t="shared" si="0"/>
        <v>2018</v>
      </c>
      <c r="I9" s="466">
        <f t="shared" si="0"/>
        <v>2019</v>
      </c>
      <c r="J9" s="467">
        <f t="shared" si="0"/>
        <v>2020</v>
      </c>
      <c r="K9" s="467">
        <f t="shared" si="0"/>
        <v>2021</v>
      </c>
      <c r="L9" s="467">
        <f t="shared" si="0"/>
        <v>2022</v>
      </c>
      <c r="M9" s="467">
        <f t="shared" si="0"/>
        <v>2023</v>
      </c>
      <c r="N9" s="467">
        <f t="shared" si="0"/>
        <v>2024</v>
      </c>
      <c r="S9" s="449"/>
      <c r="T9" s="464"/>
      <c r="U9" s="464"/>
      <c r="V9" s="464"/>
      <c r="W9" s="465">
        <f>Model!H7</f>
        <v>2017</v>
      </c>
      <c r="X9" s="465">
        <f>Model!I7</f>
        <v>2018</v>
      </c>
      <c r="Y9" s="465">
        <f>Model!J7</f>
        <v>2019</v>
      </c>
      <c r="Z9" s="465">
        <f>Model!K7</f>
        <v>2020</v>
      </c>
      <c r="AA9" s="465">
        <f>Model!L7</f>
        <v>2021</v>
      </c>
      <c r="AB9" s="465">
        <f>Model!M7</f>
        <v>2022</v>
      </c>
      <c r="AC9" s="465">
        <f>Model!N7</f>
        <v>2023</v>
      </c>
      <c r="AD9" s="465">
        <f>Model!O7</f>
        <v>2024</v>
      </c>
    </row>
    <row r="10" spans="1:30" ht="3" customHeight="1">
      <c r="G10" s="468"/>
      <c r="H10" s="468"/>
      <c r="I10" s="469"/>
      <c r="J10" s="470"/>
      <c r="K10" s="470"/>
      <c r="L10" s="470"/>
      <c r="M10" s="470"/>
      <c r="N10" s="470"/>
      <c r="O10" s="470"/>
      <c r="W10" s="468"/>
      <c r="X10" s="468"/>
      <c r="Y10" s="469"/>
      <c r="Z10" s="470"/>
      <c r="AA10" s="470"/>
      <c r="AB10" s="470"/>
      <c r="AC10" s="470"/>
      <c r="AD10" s="470"/>
    </row>
    <row r="11" spans="1:30" ht="12.95" customHeight="1">
      <c r="D11" s="471" t="s">
        <v>265</v>
      </c>
      <c r="T11" s="471" t="s">
        <v>265</v>
      </c>
    </row>
    <row r="12" spans="1:30">
      <c r="E12" s="448" t="s">
        <v>6</v>
      </c>
      <c r="F12" s="472" t="s">
        <v>271</v>
      </c>
      <c r="G12" s="529"/>
      <c r="H12" s="529"/>
      <c r="I12" s="529"/>
      <c r="J12" s="529"/>
      <c r="K12" s="529"/>
      <c r="L12" s="529"/>
      <c r="M12" s="529"/>
      <c r="N12" s="529"/>
      <c r="U12" s="448" t="s">
        <v>6</v>
      </c>
      <c r="V12" s="472" t="s">
        <v>271</v>
      </c>
      <c r="W12" s="473">
        <f>Model!H50</f>
        <v>189.76732799999999</v>
      </c>
      <c r="X12" s="473">
        <f>Model!I50</f>
        <v>209.75857500000001</v>
      </c>
      <c r="Y12" s="473">
        <f>Model!J50</f>
        <v>212.2036488</v>
      </c>
      <c r="Z12" s="473">
        <f>Model!K50</f>
        <v>237.94154999999995</v>
      </c>
      <c r="AA12" s="473">
        <f>Model!L50</f>
        <v>235.93487757840001</v>
      </c>
      <c r="AB12" s="473">
        <f>Model!M50</f>
        <v>276.00276885749571</v>
      </c>
      <c r="AC12" s="473">
        <f>Model!N50</f>
        <v>279.90322869944072</v>
      </c>
      <c r="AD12" s="473">
        <f>Model!O50</f>
        <v>290.71083344100003</v>
      </c>
    </row>
    <row r="13" spans="1:30">
      <c r="E13" s="474" t="s">
        <v>272</v>
      </c>
      <c r="F13" s="475" t="s">
        <v>159</v>
      </c>
      <c r="G13" s="476"/>
      <c r="H13" s="530"/>
      <c r="I13" s="530"/>
      <c r="J13" s="530"/>
      <c r="K13" s="530"/>
      <c r="L13" s="530"/>
      <c r="M13" s="530"/>
      <c r="N13" s="530"/>
      <c r="U13" s="474" t="s">
        <v>272</v>
      </c>
      <c r="V13" s="475" t="s">
        <v>159</v>
      </c>
      <c r="X13" s="477">
        <f t="shared" ref="X13:AD13" si="1">X12/W12-1</f>
        <v>0.10534609519295124</v>
      </c>
      <c r="Y13" s="477">
        <f t="shared" si="1"/>
        <v>1.1656609509289373E-2</v>
      </c>
      <c r="Z13" s="477">
        <f t="shared" si="1"/>
        <v>0.12128868351485167</v>
      </c>
      <c r="AA13" s="477">
        <f t="shared" si="1"/>
        <v>-8.433467889908064E-3</v>
      </c>
      <c r="AB13" s="477">
        <f t="shared" si="1"/>
        <v>0.16982606255737376</v>
      </c>
      <c r="AC13" s="477">
        <f t="shared" si="1"/>
        <v>1.4131959103493186E-2</v>
      </c>
      <c r="AD13" s="477">
        <f t="shared" si="1"/>
        <v>3.8611933101938112E-2</v>
      </c>
    </row>
    <row r="14" spans="1:30" ht="9" customHeight="1">
      <c r="G14" s="476"/>
      <c r="H14" s="476"/>
      <c r="I14" s="476"/>
      <c r="J14" s="476"/>
      <c r="K14" s="476"/>
      <c r="L14" s="476"/>
      <c r="M14" s="476"/>
      <c r="N14" s="476"/>
    </row>
    <row r="15" spans="1:30">
      <c r="E15" s="448" t="s">
        <v>8</v>
      </c>
      <c r="F15" s="472" t="s">
        <v>271</v>
      </c>
      <c r="G15" s="529"/>
      <c r="H15" s="529"/>
      <c r="I15" s="529"/>
      <c r="J15" s="529"/>
      <c r="K15" s="529"/>
      <c r="L15" s="529"/>
      <c r="M15" s="529"/>
      <c r="N15" s="529"/>
      <c r="O15" s="473"/>
      <c r="U15" s="448" t="s">
        <v>8</v>
      </c>
      <c r="V15" s="472" t="s">
        <v>271</v>
      </c>
      <c r="W15" s="473">
        <f>Model!H123</f>
        <v>29.616287999999997</v>
      </c>
      <c r="X15" s="473">
        <f>Model!I123</f>
        <v>46.437325000000016</v>
      </c>
      <c r="Y15" s="473">
        <f>Model!J123</f>
        <v>43.559968799999979</v>
      </c>
      <c r="Z15" s="473">
        <f>Model!K123</f>
        <v>59.068267499999962</v>
      </c>
      <c r="AA15" s="473">
        <f>Model!L123</f>
        <v>49.148179502400012</v>
      </c>
      <c r="AB15" s="473">
        <f>Model!M123</f>
        <v>80.880761138474924</v>
      </c>
      <c r="AC15" s="473">
        <f>Model!N123</f>
        <v>75.000023110964548</v>
      </c>
      <c r="AD15" s="473">
        <f>Model!O123</f>
        <v>77.253888880500085</v>
      </c>
    </row>
    <row r="16" spans="1:30">
      <c r="E16" s="474" t="s">
        <v>273</v>
      </c>
      <c r="F16" s="475" t="s">
        <v>159</v>
      </c>
      <c r="G16" s="530"/>
      <c r="H16" s="530"/>
      <c r="I16" s="530"/>
      <c r="J16" s="530"/>
      <c r="K16" s="530"/>
      <c r="L16" s="530"/>
      <c r="M16" s="530"/>
      <c r="N16" s="530"/>
      <c r="O16" s="478"/>
      <c r="U16" s="474" t="s">
        <v>273</v>
      </c>
      <c r="V16" s="475" t="s">
        <v>159</v>
      </c>
      <c r="W16" s="477">
        <f t="shared" ref="W16:AD16" si="2">W15/W12</f>
        <v>0.15606631716920205</v>
      </c>
      <c r="X16" s="477">
        <f t="shared" si="2"/>
        <v>0.22138463230883415</v>
      </c>
      <c r="Y16" s="477">
        <f t="shared" si="2"/>
        <v>0.20527436284121039</v>
      </c>
      <c r="Z16" s="477">
        <f t="shared" si="2"/>
        <v>0.24824696443307179</v>
      </c>
      <c r="AA16" s="477">
        <f t="shared" si="2"/>
        <v>0.20831248015066492</v>
      </c>
      <c r="AB16" s="477">
        <f t="shared" si="2"/>
        <v>0.29304329617154984</v>
      </c>
      <c r="AC16" s="477">
        <f t="shared" si="2"/>
        <v>0.26794983201676231</v>
      </c>
      <c r="AD16" s="477">
        <f t="shared" si="2"/>
        <v>0.26574134842545805</v>
      </c>
    </row>
    <row r="17" spans="3:31">
      <c r="E17" s="474" t="s">
        <v>272</v>
      </c>
      <c r="F17" s="475" t="s">
        <v>159</v>
      </c>
      <c r="G17" s="479"/>
      <c r="H17" s="530"/>
      <c r="I17" s="530"/>
      <c r="J17" s="530"/>
      <c r="K17" s="530"/>
      <c r="L17" s="530"/>
      <c r="M17" s="530"/>
      <c r="N17" s="530"/>
      <c r="O17" s="478"/>
      <c r="U17" s="474" t="s">
        <v>272</v>
      </c>
      <c r="V17" s="475" t="s">
        <v>159</v>
      </c>
      <c r="W17" s="475"/>
      <c r="X17" s="477">
        <f t="shared" ref="X17:AD17" si="3">X15/W15-1</f>
        <v>0.56796574236447261</v>
      </c>
      <c r="Y17" s="477">
        <f t="shared" si="3"/>
        <v>-6.1962143598926822E-2</v>
      </c>
      <c r="Z17" s="477">
        <f t="shared" si="3"/>
        <v>0.35602180458862009</v>
      </c>
      <c r="AA17" s="477">
        <f t="shared" si="3"/>
        <v>-0.16794276212011727</v>
      </c>
      <c r="AB17" s="477">
        <f t="shared" si="3"/>
        <v>0.64565121144569226</v>
      </c>
      <c r="AC17" s="477">
        <f t="shared" si="3"/>
        <v>-7.2708737464055706E-2</v>
      </c>
      <c r="AD17" s="477">
        <f t="shared" si="3"/>
        <v>3.0051534333541241E-2</v>
      </c>
    </row>
    <row r="18" spans="3:31" ht="6" customHeight="1">
      <c r="G18" s="476"/>
      <c r="H18" s="476"/>
      <c r="I18" s="476"/>
      <c r="J18" s="476"/>
      <c r="K18" s="476"/>
      <c r="L18" s="476"/>
      <c r="M18" s="476"/>
      <c r="N18" s="476"/>
    </row>
    <row r="19" spans="3:31">
      <c r="E19" s="448" t="s">
        <v>85</v>
      </c>
      <c r="F19" s="472" t="s">
        <v>271</v>
      </c>
      <c r="G19" s="529"/>
      <c r="H19" s="529"/>
      <c r="I19" s="529"/>
      <c r="J19" s="529"/>
      <c r="K19" s="529"/>
      <c r="L19" s="529"/>
      <c r="M19" s="529"/>
      <c r="N19" s="529"/>
      <c r="O19" s="473"/>
      <c r="U19" s="448" t="s">
        <v>85</v>
      </c>
      <c r="V19" s="472" t="s">
        <v>271</v>
      </c>
      <c r="W19" s="473">
        <f>Model!H128</f>
        <v>9</v>
      </c>
      <c r="X19" s="473">
        <f>Model!I128</f>
        <v>13</v>
      </c>
      <c r="Y19" s="473">
        <f>Model!J128</f>
        <v>14</v>
      </c>
      <c r="Z19" s="473">
        <f>Model!K128</f>
        <v>16</v>
      </c>
      <c r="AA19" s="473">
        <f>Model!L128</f>
        <v>14.07536370994317</v>
      </c>
      <c r="AB19" s="473">
        <f>Model!M128</f>
        <v>12.551677871298352</v>
      </c>
      <c r="AC19" s="473">
        <f>Model!N128</f>
        <v>10.099240548245628</v>
      </c>
      <c r="AD19" s="473">
        <f>Model!O128</f>
        <v>8</v>
      </c>
    </row>
    <row r="20" spans="3:31" ht="6" customHeight="1">
      <c r="G20" s="476"/>
      <c r="H20" s="476"/>
      <c r="I20" s="476"/>
      <c r="J20" s="476"/>
      <c r="K20" s="476"/>
      <c r="L20" s="476"/>
      <c r="M20" s="476"/>
      <c r="N20" s="476"/>
    </row>
    <row r="21" spans="3:31">
      <c r="E21" s="448" t="s">
        <v>131</v>
      </c>
      <c r="F21" s="472" t="s">
        <v>271</v>
      </c>
      <c r="G21" s="529"/>
      <c r="H21" s="529"/>
      <c r="I21" s="529"/>
      <c r="J21" s="529"/>
      <c r="K21" s="529"/>
      <c r="L21" s="529"/>
      <c r="M21" s="529"/>
      <c r="N21" s="529"/>
      <c r="O21" s="473"/>
      <c r="U21" s="448" t="s">
        <v>131</v>
      </c>
      <c r="V21" s="472" t="s">
        <v>271</v>
      </c>
      <c r="W21" s="473">
        <f>-Model!H163</f>
        <v>14.1</v>
      </c>
      <c r="X21" s="473">
        <f>-Model!I163</f>
        <v>15</v>
      </c>
      <c r="Y21" s="473">
        <f>-Model!J163</f>
        <v>15.5</v>
      </c>
      <c r="Z21" s="473">
        <f>-Model!K163</f>
        <v>16</v>
      </c>
      <c r="AA21" s="473">
        <f>-Model!L163</f>
        <v>17</v>
      </c>
      <c r="AB21" s="473">
        <f>-Model!M163</f>
        <v>17.34</v>
      </c>
      <c r="AC21" s="473">
        <f>-Model!N163</f>
        <v>17.773499999999999</v>
      </c>
      <c r="AD21" s="473">
        <f>-Model!O163</f>
        <v>18.217837499999998</v>
      </c>
    </row>
    <row r="22" spans="3:31" ht="6" customHeight="1">
      <c r="D22" s="480"/>
      <c r="E22" s="480"/>
      <c r="F22" s="480"/>
      <c r="G22" s="481"/>
      <c r="H22" s="481"/>
      <c r="I22" s="481"/>
      <c r="J22" s="481"/>
      <c r="K22" s="481"/>
      <c r="L22" s="481"/>
      <c r="M22" s="481"/>
      <c r="N22" s="481"/>
      <c r="O22" s="449"/>
      <c r="T22" s="480"/>
      <c r="U22" s="480"/>
      <c r="V22" s="480"/>
      <c r="W22" s="480"/>
      <c r="X22" s="480"/>
      <c r="Y22" s="480"/>
      <c r="Z22" s="480"/>
      <c r="AA22" s="480"/>
      <c r="AB22" s="480"/>
      <c r="AC22" s="480"/>
      <c r="AD22" s="480"/>
    </row>
    <row r="23" spans="3:31" ht="3" customHeight="1">
      <c r="G23" s="476"/>
      <c r="H23" s="476"/>
      <c r="I23" s="476"/>
      <c r="J23" s="476"/>
      <c r="K23" s="476"/>
      <c r="L23" s="476"/>
      <c r="M23" s="476"/>
      <c r="N23" s="476"/>
    </row>
    <row r="24" spans="3:31">
      <c r="D24" s="471" t="s">
        <v>274</v>
      </c>
      <c r="G24" s="476"/>
      <c r="H24" s="476"/>
      <c r="I24" s="476"/>
      <c r="J24" s="476"/>
      <c r="K24" s="476"/>
      <c r="L24" s="476"/>
      <c r="M24" s="476"/>
      <c r="N24" s="476"/>
      <c r="T24" s="471" t="s">
        <v>274</v>
      </c>
    </row>
    <row r="25" spans="3:31" s="482" customFormat="1" ht="15" customHeight="1">
      <c r="E25" s="482" t="s">
        <v>135</v>
      </c>
      <c r="G25" s="483"/>
      <c r="H25" s="483"/>
      <c r="I25" s="531"/>
      <c r="J25" s="531"/>
      <c r="K25" s="531"/>
      <c r="L25" s="531"/>
      <c r="M25" s="531"/>
      <c r="N25" s="531"/>
      <c r="O25" s="484"/>
      <c r="U25" s="482" t="str">
        <f>E25</f>
        <v>Net Debt / EBITDA</v>
      </c>
      <c r="Y25" s="484">
        <f>Model!J426</f>
        <v>4.5913715163175253</v>
      </c>
      <c r="Z25" s="484">
        <f>Model!K426</f>
        <v>2.9786220896742868</v>
      </c>
      <c r="AA25" s="484">
        <f>Model!L426</f>
        <v>3.1923048824945353</v>
      </c>
      <c r="AB25" s="484">
        <f>Model!M426</f>
        <v>1.560822438811321</v>
      </c>
      <c r="AC25" s="484">
        <f>Model!N426</f>
        <v>1.333332922471868</v>
      </c>
      <c r="AD25" s="484">
        <f>Model!O426</f>
        <v>0.97082491363008916</v>
      </c>
    </row>
    <row r="26" spans="3:31" s="482" customFormat="1" ht="15" customHeight="1">
      <c r="E26" s="482" t="s">
        <v>138</v>
      </c>
      <c r="G26" s="483"/>
      <c r="H26" s="483"/>
      <c r="I26" s="531"/>
      <c r="J26" s="531"/>
      <c r="K26" s="531"/>
      <c r="L26" s="531"/>
      <c r="M26" s="531"/>
      <c r="N26" s="531"/>
      <c r="O26" s="484"/>
      <c r="U26" s="482" t="str">
        <f>E26</f>
        <v>Interest Coverage (EBITDA / Interest)</v>
      </c>
      <c r="Y26" s="484">
        <f>Model!J429</f>
        <v>3.1114263428571411</v>
      </c>
      <c r="Z26" s="484">
        <f>Model!K429</f>
        <v>3.6917667187499976</v>
      </c>
      <c r="AA26" s="484">
        <f>Model!L429</f>
        <v>3.4917875314071334</v>
      </c>
      <c r="AB26" s="484">
        <f>Model!M429</f>
        <v>6.4438206563142604</v>
      </c>
      <c r="AC26" s="484">
        <f>Model!N429</f>
        <v>7.4263032702981855</v>
      </c>
      <c r="AD26" s="484">
        <f>Model!O429</f>
        <v>9.6567361100625106</v>
      </c>
    </row>
    <row r="27" spans="3:31" s="482" customFormat="1" ht="15" customHeight="1">
      <c r="E27" s="485" t="s">
        <v>139</v>
      </c>
      <c r="G27" s="483"/>
      <c r="H27" s="483"/>
      <c r="I27" s="532"/>
      <c r="J27" s="532"/>
      <c r="K27" s="532"/>
      <c r="L27" s="532"/>
      <c r="M27" s="532"/>
      <c r="N27" s="532"/>
      <c r="O27" s="484"/>
      <c r="U27" s="485" t="s">
        <v>139</v>
      </c>
      <c r="Y27" s="486">
        <f>Model!J435</f>
        <v>0.46339202965708987</v>
      </c>
      <c r="Z27" s="486">
        <f>Model!K435</f>
        <v>0.41301475516102276</v>
      </c>
      <c r="AA27" s="486">
        <f>Model!L435</f>
        <v>0.37389328234342767</v>
      </c>
      <c r="AB27" s="486">
        <f>Model!M435</f>
        <v>0.29914115218041071</v>
      </c>
      <c r="AC27" s="486">
        <f>Model!N435</f>
        <v>0.23472870985854033</v>
      </c>
      <c r="AD27" s="486">
        <f>Model!O435</f>
        <v>0.17303213939116072</v>
      </c>
    </row>
    <row r="28" spans="3:31" ht="6" customHeight="1"/>
    <row r="29" spans="3:31" ht="6" customHeight="1"/>
    <row r="31" spans="3:31" ht="15.75" customHeight="1">
      <c r="C31" s="460" t="s">
        <v>275</v>
      </c>
      <c r="D31" s="461"/>
      <c r="E31" s="461"/>
      <c r="F31" s="461"/>
      <c r="G31" s="459"/>
      <c r="H31" s="459"/>
      <c r="I31" s="459"/>
      <c r="J31" s="459"/>
      <c r="K31" s="459"/>
      <c r="L31" s="459"/>
      <c r="M31" s="459"/>
      <c r="N31" s="459"/>
      <c r="O31" s="459"/>
      <c r="S31" s="487"/>
      <c r="T31" s="488"/>
      <c r="U31" s="489" t="s">
        <v>276</v>
      </c>
      <c r="V31" s="488"/>
      <c r="W31" s="490"/>
      <c r="X31" s="490"/>
      <c r="Y31" s="491">
        <f>Assumptions!H30</f>
        <v>4.5</v>
      </c>
      <c r="Z31" s="491">
        <f>Y31</f>
        <v>4.5</v>
      </c>
      <c r="AA31" s="491">
        <f>Z31</f>
        <v>4.5</v>
      </c>
      <c r="AB31" s="491">
        <f>AA31</f>
        <v>4.5</v>
      </c>
      <c r="AC31" s="491">
        <f>AB31</f>
        <v>4.5</v>
      </c>
      <c r="AD31" s="491">
        <f>AC31</f>
        <v>4.5</v>
      </c>
      <c r="AE31" s="492"/>
    </row>
    <row r="32" spans="3:31" ht="3" customHeight="1">
      <c r="C32" s="461"/>
      <c r="D32" s="461"/>
      <c r="E32" s="461"/>
      <c r="F32" s="461"/>
      <c r="G32" s="459"/>
      <c r="H32" s="459"/>
      <c r="I32" s="459"/>
      <c r="J32" s="459"/>
      <c r="K32" s="459"/>
      <c r="L32" s="459"/>
      <c r="M32" s="459"/>
      <c r="N32" s="459"/>
      <c r="O32" s="459"/>
      <c r="S32" s="493"/>
      <c r="T32" s="494"/>
      <c r="U32" s="494"/>
      <c r="V32" s="494"/>
      <c r="W32" s="459"/>
      <c r="X32" s="459"/>
      <c r="Y32" s="495"/>
      <c r="Z32" s="495"/>
      <c r="AA32" s="495"/>
      <c r="AB32" s="495"/>
      <c r="AC32" s="495"/>
      <c r="AD32" s="495"/>
      <c r="AE32" s="496"/>
    </row>
    <row r="33" spans="3:32">
      <c r="J33" s="462" t="s">
        <v>5</v>
      </c>
      <c r="K33" s="463"/>
      <c r="L33" s="463"/>
      <c r="M33" s="463"/>
      <c r="N33" s="463"/>
      <c r="S33" s="497"/>
      <c r="T33" s="449"/>
      <c r="U33" s="498" t="s">
        <v>277</v>
      </c>
      <c r="V33" s="449"/>
      <c r="W33" s="449"/>
      <c r="X33" s="449"/>
      <c r="Y33" s="499">
        <f>Assumptions!H31</f>
        <v>1.5</v>
      </c>
      <c r="Z33" s="499">
        <f t="shared" ref="Z33:AD34" si="4">Y33</f>
        <v>1.5</v>
      </c>
      <c r="AA33" s="499">
        <f t="shared" si="4"/>
        <v>1.5</v>
      </c>
      <c r="AB33" s="499">
        <f t="shared" si="4"/>
        <v>1.5</v>
      </c>
      <c r="AC33" s="499">
        <f t="shared" si="4"/>
        <v>1.5</v>
      </c>
      <c r="AD33" s="499">
        <f t="shared" si="4"/>
        <v>1.5</v>
      </c>
      <c r="AE33" s="496"/>
    </row>
    <row r="34" spans="3:32">
      <c r="C34" s="449"/>
      <c r="D34" s="464"/>
      <c r="E34" s="464"/>
      <c r="F34" s="464"/>
      <c r="G34" s="465">
        <f t="shared" ref="G34:N34" si="5">G9</f>
        <v>2017</v>
      </c>
      <c r="H34" s="465">
        <f t="shared" si="5"/>
        <v>2018</v>
      </c>
      <c r="I34" s="466">
        <f t="shared" si="5"/>
        <v>2019</v>
      </c>
      <c r="J34" s="467">
        <f t="shared" si="5"/>
        <v>2020</v>
      </c>
      <c r="K34" s="467">
        <f t="shared" si="5"/>
        <v>2021</v>
      </c>
      <c r="L34" s="467">
        <f t="shared" si="5"/>
        <v>2022</v>
      </c>
      <c r="M34" s="467">
        <f t="shared" si="5"/>
        <v>2023</v>
      </c>
      <c r="N34" s="467">
        <f t="shared" si="5"/>
        <v>2024</v>
      </c>
      <c r="S34" s="497"/>
      <c r="T34" s="449"/>
      <c r="U34" s="500" t="s">
        <v>278</v>
      </c>
      <c r="V34" s="449"/>
      <c r="W34" s="501"/>
      <c r="X34" s="501"/>
      <c r="Y34" s="486">
        <f>Assumptions!H33</f>
        <v>0.4</v>
      </c>
      <c r="Z34" s="502">
        <f t="shared" si="4"/>
        <v>0.4</v>
      </c>
      <c r="AA34" s="502">
        <f t="shared" si="4"/>
        <v>0.4</v>
      </c>
      <c r="AB34" s="502">
        <f t="shared" si="4"/>
        <v>0.4</v>
      </c>
      <c r="AC34" s="502">
        <f t="shared" si="4"/>
        <v>0.4</v>
      </c>
      <c r="AD34" s="502">
        <f t="shared" si="4"/>
        <v>0.4</v>
      </c>
      <c r="AE34" s="496"/>
    </row>
    <row r="35" spans="3:32" ht="3" customHeight="1">
      <c r="G35" s="468"/>
      <c r="H35" s="468"/>
      <c r="I35" s="469"/>
      <c r="J35" s="470"/>
      <c r="K35" s="470"/>
      <c r="L35" s="470"/>
      <c r="M35" s="470"/>
      <c r="N35" s="470"/>
      <c r="O35" s="470"/>
      <c r="S35" s="503"/>
      <c r="T35" s="464"/>
      <c r="U35" s="464"/>
      <c r="V35" s="464"/>
      <c r="W35" s="504"/>
      <c r="X35" s="504"/>
      <c r="Y35" s="505"/>
      <c r="Z35" s="506"/>
      <c r="AA35" s="506"/>
      <c r="AB35" s="506"/>
      <c r="AC35" s="506"/>
      <c r="AD35" s="506"/>
      <c r="AE35" s="507"/>
    </row>
    <row r="36" spans="3:32" ht="12.95" customHeight="1">
      <c r="D36" s="471" t="s">
        <v>265</v>
      </c>
      <c r="S36" s="449"/>
      <c r="T36" s="508"/>
      <c r="U36" s="449"/>
      <c r="V36" s="449"/>
      <c r="W36" s="449"/>
      <c r="X36" s="449"/>
      <c r="Y36" s="449"/>
      <c r="Z36" s="449"/>
      <c r="AA36" s="449"/>
      <c r="AB36" s="449"/>
      <c r="AC36" s="449"/>
      <c r="AD36" s="449"/>
      <c r="AE36" s="449"/>
    </row>
    <row r="37" spans="3:32">
      <c r="E37" s="448" t="s">
        <v>6</v>
      </c>
      <c r="F37" s="472" t="s">
        <v>271</v>
      </c>
      <c r="G37" s="529"/>
      <c r="H37" s="529"/>
      <c r="I37" s="529"/>
      <c r="J37" s="529"/>
      <c r="K37" s="529"/>
      <c r="L37" s="529"/>
      <c r="M37" s="529"/>
      <c r="N37" s="529"/>
      <c r="S37" s="449"/>
      <c r="T37" s="449"/>
      <c r="V37" s="509"/>
      <c r="W37" s="473"/>
      <c r="X37" s="473"/>
      <c r="Y37" s="473"/>
      <c r="Z37" s="473"/>
      <c r="AA37" s="473"/>
      <c r="AB37" s="473"/>
      <c r="AC37" s="473"/>
      <c r="AD37" s="473"/>
      <c r="AE37" s="449"/>
    </row>
    <row r="38" spans="3:32">
      <c r="E38" s="474" t="s">
        <v>272</v>
      </c>
      <c r="F38" s="475" t="s">
        <v>159</v>
      </c>
      <c r="G38" s="476"/>
      <c r="H38" s="530"/>
      <c r="I38" s="530"/>
      <c r="J38" s="530"/>
      <c r="K38" s="530"/>
      <c r="L38" s="530"/>
      <c r="M38" s="530"/>
      <c r="N38" s="530"/>
      <c r="S38" s="449"/>
      <c r="T38" s="449"/>
      <c r="U38" s="510"/>
      <c r="V38" s="509"/>
      <c r="W38" s="449"/>
      <c r="X38" s="478"/>
      <c r="Y38" s="478"/>
      <c r="Z38" s="478"/>
      <c r="AA38" s="478"/>
      <c r="AB38" s="478"/>
      <c r="AC38" s="478"/>
      <c r="AD38" s="478"/>
      <c r="AE38" s="449"/>
    </row>
    <row r="39" spans="3:32" ht="6" customHeight="1">
      <c r="G39" s="476"/>
      <c r="H39" s="476"/>
      <c r="I39" s="476"/>
      <c r="J39" s="476"/>
      <c r="K39" s="476"/>
      <c r="L39" s="476"/>
      <c r="M39" s="476"/>
      <c r="N39" s="476"/>
      <c r="S39" s="449"/>
      <c r="T39" s="449"/>
      <c r="U39" s="449"/>
      <c r="V39" s="449"/>
      <c r="W39" s="449"/>
      <c r="X39" s="449"/>
      <c r="Y39" s="449"/>
      <c r="Z39" s="449"/>
      <c r="AA39" s="449"/>
      <c r="AB39" s="449"/>
      <c r="AC39" s="449"/>
      <c r="AD39" s="449"/>
      <c r="AE39" s="449"/>
    </row>
    <row r="40" spans="3:32" ht="23.25">
      <c r="E40" s="448" t="s">
        <v>8</v>
      </c>
      <c r="F40" s="472" t="s">
        <v>271</v>
      </c>
      <c r="G40" s="529"/>
      <c r="H40" s="529"/>
      <c r="I40" s="529"/>
      <c r="J40" s="529"/>
      <c r="K40" s="529"/>
      <c r="L40" s="529"/>
      <c r="M40" s="529"/>
      <c r="N40" s="529"/>
      <c r="O40" s="473"/>
      <c r="S40" s="19" t="s">
        <v>284</v>
      </c>
      <c r="T40" s="21"/>
      <c r="U40" s="21"/>
      <c r="V40" s="21"/>
      <c r="W40" s="21"/>
      <c r="X40" s="21"/>
      <c r="Y40" s="21"/>
      <c r="Z40" s="21"/>
      <c r="AA40" s="21"/>
      <c r="AB40" s="21"/>
      <c r="AC40" s="21"/>
      <c r="AD40" s="21"/>
      <c r="AE40" s="21"/>
      <c r="AF40" s="21"/>
    </row>
    <row r="41" spans="3:32" ht="18.75">
      <c r="E41" s="474" t="s">
        <v>273</v>
      </c>
      <c r="F41" s="475" t="s">
        <v>159</v>
      </c>
      <c r="G41" s="530"/>
      <c r="H41" s="530"/>
      <c r="I41" s="530"/>
      <c r="J41" s="530"/>
      <c r="K41" s="530"/>
      <c r="L41" s="530"/>
      <c r="M41" s="530"/>
      <c r="N41" s="530"/>
      <c r="O41" s="478"/>
      <c r="S41" s="196" t="s">
        <v>129</v>
      </c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</row>
    <row r="42" spans="3:32" ht="19.5" thickBot="1">
      <c r="E42" s="474" t="s">
        <v>272</v>
      </c>
      <c r="F42" s="475" t="s">
        <v>159</v>
      </c>
      <c r="G42" s="479"/>
      <c r="H42" s="530"/>
      <c r="I42" s="530"/>
      <c r="J42" s="530"/>
      <c r="K42" s="530"/>
      <c r="L42" s="530"/>
      <c r="M42" s="530"/>
      <c r="N42" s="530"/>
      <c r="O42" s="478"/>
      <c r="S42" s="200"/>
      <c r="T42" s="308"/>
      <c r="U42" s="308"/>
      <c r="V42" s="308"/>
      <c r="W42" s="308"/>
      <c r="X42" s="308"/>
      <c r="Y42" s="308"/>
      <c r="Z42" s="308"/>
      <c r="AA42" s="308"/>
      <c r="AB42" s="308"/>
      <c r="AC42" s="308"/>
      <c r="AD42" s="308"/>
      <c r="AE42" s="308"/>
      <c r="AF42" s="308"/>
    </row>
    <row r="43" spans="3:32" ht="6" customHeight="1">
      <c r="G43" s="476"/>
      <c r="H43" s="476"/>
      <c r="I43" s="476"/>
      <c r="J43" s="476"/>
      <c r="K43" s="476"/>
      <c r="L43" s="476"/>
      <c r="M43" s="476"/>
      <c r="N43" s="476"/>
      <c r="S43" s="309" t="s">
        <v>219</v>
      </c>
      <c r="T43" s="22"/>
      <c r="U43" s="22"/>
      <c r="V43" s="22"/>
      <c r="W43" s="22"/>
      <c r="X43" s="22"/>
      <c r="Y43" s="22"/>
      <c r="Z43" s="22"/>
      <c r="AA43" s="22"/>
      <c r="AB43" s="22"/>
      <c r="AC43" s="22"/>
      <c r="AD43" s="22"/>
      <c r="AE43" s="22"/>
      <c r="AF43" s="32"/>
    </row>
    <row r="44" spans="3:32">
      <c r="E44" s="448" t="s">
        <v>85</v>
      </c>
      <c r="F44" s="472" t="s">
        <v>271</v>
      </c>
      <c r="G44" s="529"/>
      <c r="H44" s="529"/>
      <c r="I44" s="529"/>
      <c r="J44" s="529"/>
      <c r="K44" s="529"/>
      <c r="L44" s="529"/>
      <c r="M44" s="529"/>
      <c r="N44" s="529"/>
      <c r="O44" s="473"/>
      <c r="S44" s="22"/>
      <c r="T44" s="22"/>
      <c r="U44" s="22"/>
      <c r="V44" s="22"/>
      <c r="W44" s="22"/>
      <c r="X44" s="22"/>
      <c r="Y44" s="24"/>
      <c r="Z44" s="24"/>
      <c r="AA44" s="24"/>
      <c r="AB44" s="204" t="s">
        <v>5</v>
      </c>
      <c r="AC44" s="62"/>
      <c r="AD44" s="62"/>
      <c r="AE44" s="62"/>
      <c r="AF44" s="62"/>
    </row>
    <row r="45" spans="3:32" ht="9" customHeight="1">
      <c r="G45" s="476"/>
      <c r="H45" s="476"/>
      <c r="I45" s="476"/>
      <c r="J45" s="476"/>
      <c r="K45" s="476"/>
      <c r="L45" s="476"/>
      <c r="M45" s="476"/>
      <c r="N45" s="476"/>
      <c r="S45" s="22"/>
      <c r="T45" s="22"/>
      <c r="U45" s="22"/>
      <c r="V45" s="22"/>
      <c r="W45" s="22"/>
      <c r="X45" s="312"/>
      <c r="Y45" s="420"/>
      <c r="Z45" s="420"/>
      <c r="AA45" s="249">
        <v>2019</v>
      </c>
      <c r="AB45" s="313">
        <v>2020</v>
      </c>
      <c r="AC45" s="313">
        <v>2021</v>
      </c>
      <c r="AD45" s="313">
        <v>2022</v>
      </c>
      <c r="AE45" s="313">
        <v>2023</v>
      </c>
      <c r="AF45" s="313">
        <v>2024</v>
      </c>
    </row>
    <row r="46" spans="3:32">
      <c r="E46" s="448" t="s">
        <v>131</v>
      </c>
      <c r="F46" s="472" t="s">
        <v>271</v>
      </c>
      <c r="G46" s="529"/>
      <c r="H46" s="529"/>
      <c r="I46" s="529"/>
      <c r="J46" s="529"/>
      <c r="K46" s="529"/>
      <c r="L46" s="529"/>
      <c r="M46" s="529"/>
      <c r="N46" s="529"/>
      <c r="O46" s="473"/>
      <c r="S46" s="18"/>
      <c r="T46" s="18"/>
      <c r="U46" s="18"/>
      <c r="V46" s="18"/>
      <c r="W46" s="245"/>
      <c r="X46" s="18"/>
      <c r="Y46" s="18"/>
      <c r="Z46" s="18"/>
      <c r="AA46" s="18"/>
      <c r="AB46" s="18"/>
      <c r="AC46" s="18"/>
      <c r="AD46" s="18"/>
      <c r="AE46" s="18"/>
      <c r="AF46" s="18"/>
    </row>
    <row r="47" spans="3:32" ht="6" customHeight="1">
      <c r="D47" s="480"/>
      <c r="E47" s="480"/>
      <c r="F47" s="480"/>
      <c r="G47" s="481"/>
      <c r="H47" s="481"/>
      <c r="I47" s="481"/>
      <c r="J47" s="481"/>
      <c r="K47" s="481"/>
      <c r="L47" s="481"/>
      <c r="M47" s="481"/>
      <c r="N47" s="481"/>
      <c r="O47" s="449"/>
      <c r="S47" s="431" t="s">
        <v>130</v>
      </c>
      <c r="T47" s="699"/>
      <c r="U47" s="432"/>
      <c r="V47" s="432"/>
      <c r="W47" s="433"/>
      <c r="X47" s="298"/>
      <c r="Y47" s="298"/>
      <c r="Z47" s="298"/>
      <c r="AA47" s="298"/>
      <c r="AB47" s="298"/>
      <c r="AC47" s="298"/>
      <c r="AD47" s="298"/>
      <c r="AE47" s="298"/>
      <c r="AF47" s="434"/>
    </row>
    <row r="48" spans="3:32" ht="3" customHeight="1">
      <c r="G48" s="476"/>
      <c r="H48" s="476"/>
      <c r="I48" s="476"/>
      <c r="J48" s="476"/>
      <c r="K48" s="476"/>
      <c r="L48" s="476"/>
      <c r="M48" s="476"/>
      <c r="N48" s="476"/>
      <c r="S48" s="435"/>
      <c r="T48" s="435" t="s">
        <v>8</v>
      </c>
      <c r="U48" s="77"/>
      <c r="V48" s="77"/>
      <c r="W48" s="436" t="s">
        <v>216</v>
      </c>
      <c r="X48" s="18"/>
      <c r="Y48" s="18"/>
      <c r="Z48" s="18"/>
      <c r="AA48" s="523">
        <v>43.559968799999979</v>
      </c>
      <c r="AB48" s="523">
        <v>59.068267499999962</v>
      </c>
      <c r="AC48" s="523">
        <v>49.148179502400012</v>
      </c>
      <c r="AD48" s="523">
        <v>80.880761138474924</v>
      </c>
      <c r="AE48" s="523">
        <v>75.000023110964548</v>
      </c>
      <c r="AF48" s="524">
        <v>77.253888880500085</v>
      </c>
    </row>
    <row r="49" spans="2:32">
      <c r="D49" s="471" t="s">
        <v>274</v>
      </c>
      <c r="G49" s="476"/>
      <c r="H49" s="476"/>
      <c r="I49" s="476"/>
      <c r="J49" s="476"/>
      <c r="K49" s="476"/>
      <c r="L49" s="476"/>
      <c r="M49" s="476"/>
      <c r="N49" s="476"/>
      <c r="S49" s="435"/>
      <c r="T49" s="435" t="s">
        <v>131</v>
      </c>
      <c r="U49" s="77"/>
      <c r="V49" s="77"/>
      <c r="W49" s="436" t="s">
        <v>216</v>
      </c>
      <c r="X49" s="18"/>
      <c r="Y49" s="18"/>
      <c r="Z49" s="18"/>
      <c r="AA49" s="525">
        <v>-15.5</v>
      </c>
      <c r="AB49" s="525">
        <v>-16</v>
      </c>
      <c r="AC49" s="525">
        <v>-17</v>
      </c>
      <c r="AD49" s="525">
        <v>-17.34</v>
      </c>
      <c r="AE49" s="525">
        <v>-17.773499999999999</v>
      </c>
      <c r="AF49" s="526">
        <v>-18.217837499999998</v>
      </c>
    </row>
    <row r="50" spans="2:32" s="482" customFormat="1" ht="15" customHeight="1">
      <c r="E50" s="482" t="str">
        <f>E25</f>
        <v>Net Debt / EBITDA</v>
      </c>
      <c r="G50" s="483"/>
      <c r="H50" s="483"/>
      <c r="I50" s="531"/>
      <c r="J50" s="531"/>
      <c r="K50" s="531"/>
      <c r="L50" s="531"/>
      <c r="M50" s="531"/>
      <c r="N50" s="531"/>
      <c r="O50" s="484"/>
      <c r="S50" s="435"/>
      <c r="T50" s="435" t="s">
        <v>132</v>
      </c>
      <c r="U50" s="77"/>
      <c r="V50" s="77"/>
      <c r="W50" s="436" t="s">
        <v>216</v>
      </c>
      <c r="X50" s="18"/>
      <c r="Y50" s="18"/>
      <c r="Z50" s="18"/>
      <c r="AA50" s="525">
        <v>200</v>
      </c>
      <c r="AB50" s="525">
        <v>175.94204637428965</v>
      </c>
      <c r="AC50" s="525">
        <v>156.8959733912294</v>
      </c>
      <c r="AD50" s="525">
        <v>126.24050685307034</v>
      </c>
      <c r="AE50" s="525">
        <v>100</v>
      </c>
      <c r="AF50" s="526">
        <v>75</v>
      </c>
    </row>
    <row r="51" spans="2:32" s="482" customFormat="1" ht="15" customHeight="1">
      <c r="E51" s="482" t="str">
        <f>E26</f>
        <v>Interest Coverage (EBITDA / Interest)</v>
      </c>
      <c r="G51" s="483"/>
      <c r="H51" s="483"/>
      <c r="I51" s="531"/>
      <c r="J51" s="531"/>
      <c r="K51" s="531"/>
      <c r="L51" s="531"/>
      <c r="M51" s="531"/>
      <c r="N51" s="531"/>
      <c r="O51" s="484"/>
      <c r="S51" s="435"/>
      <c r="T51" s="435" t="s">
        <v>133</v>
      </c>
      <c r="U51" s="77"/>
      <c r="V51" s="77"/>
      <c r="W51" s="436" t="s">
        <v>216</v>
      </c>
      <c r="X51" s="18"/>
      <c r="Y51" s="18"/>
      <c r="Z51" s="18"/>
      <c r="AA51" s="525">
        <v>200</v>
      </c>
      <c r="AB51" s="525">
        <v>175.94204637428965</v>
      </c>
      <c r="AC51" s="525">
        <v>156.8959733912294</v>
      </c>
      <c r="AD51" s="525">
        <v>126.24050685307034</v>
      </c>
      <c r="AE51" s="525">
        <v>100</v>
      </c>
      <c r="AF51" s="526">
        <v>75</v>
      </c>
    </row>
    <row r="52" spans="2:32" s="482" customFormat="1" ht="15" customHeight="1">
      <c r="E52" s="485" t="s">
        <v>139</v>
      </c>
      <c r="G52" s="483"/>
      <c r="H52" s="483"/>
      <c r="I52" s="532"/>
      <c r="J52" s="532"/>
      <c r="K52" s="532"/>
      <c r="L52" s="532"/>
      <c r="M52" s="532"/>
      <c r="N52" s="532"/>
      <c r="O52" s="484"/>
      <c r="S52" s="435"/>
      <c r="T52" s="435" t="s">
        <v>85</v>
      </c>
      <c r="U52" s="77"/>
      <c r="V52" s="77"/>
      <c r="W52" s="436" t="s">
        <v>216</v>
      </c>
      <c r="X52" s="18"/>
      <c r="Y52" s="18"/>
      <c r="Z52" s="18"/>
      <c r="AA52" s="525">
        <v>14</v>
      </c>
      <c r="AB52" s="525">
        <v>16</v>
      </c>
      <c r="AC52" s="525">
        <v>14.07536370994317</v>
      </c>
      <c r="AD52" s="525">
        <v>12.551677871298352</v>
      </c>
      <c r="AE52" s="525">
        <v>10.099240548245628</v>
      </c>
      <c r="AF52" s="526">
        <v>8</v>
      </c>
    </row>
    <row r="53" spans="2:32" ht="6" customHeight="1">
      <c r="S53" s="437"/>
      <c r="T53" s="437" t="s">
        <v>204</v>
      </c>
      <c r="U53" s="55"/>
      <c r="V53" s="55"/>
      <c r="W53" s="438" t="s">
        <v>216</v>
      </c>
      <c r="X53" s="41"/>
      <c r="Y53" s="41"/>
      <c r="Z53" s="41"/>
      <c r="AA53" s="527">
        <v>431.6</v>
      </c>
      <c r="AB53" s="527">
        <v>425.99457810095629</v>
      </c>
      <c r="AC53" s="527">
        <v>419.62768736539545</v>
      </c>
      <c r="AD53" s="527">
        <v>422.009830252092</v>
      </c>
      <c r="AE53" s="527">
        <v>426.02372781866001</v>
      </c>
      <c r="AF53" s="528">
        <v>433.44548743313607</v>
      </c>
    </row>
    <row r="54" spans="2:32" ht="6" customHeight="1">
      <c r="S54" s="18"/>
      <c r="T54" s="18"/>
      <c r="U54" s="18"/>
      <c r="V54" s="18"/>
      <c r="W54" s="245"/>
      <c r="X54" s="18"/>
      <c r="Y54" s="18"/>
      <c r="Z54" s="18"/>
      <c r="AA54" s="18"/>
      <c r="AB54" s="18"/>
      <c r="AC54" s="18"/>
      <c r="AD54" s="18"/>
      <c r="AE54" s="18"/>
      <c r="AF54" s="18"/>
    </row>
    <row r="55" spans="2:32" ht="9" customHeight="1">
      <c r="B55" s="464"/>
      <c r="C55" s="464"/>
      <c r="D55" s="464"/>
      <c r="E55" s="464"/>
      <c r="F55" s="464"/>
      <c r="G55" s="464"/>
      <c r="H55" s="464"/>
      <c r="I55" s="464"/>
      <c r="J55" s="464"/>
      <c r="K55" s="464"/>
      <c r="L55" s="464"/>
      <c r="M55" s="464"/>
      <c r="N55" s="464"/>
      <c r="O55" s="464"/>
      <c r="P55" s="464"/>
      <c r="S55" s="18"/>
      <c r="T55" s="18"/>
      <c r="U55" s="18"/>
      <c r="V55" s="18"/>
      <c r="W55" s="245"/>
      <c r="X55" s="18"/>
      <c r="Y55" s="18"/>
      <c r="Z55" s="18"/>
      <c r="AA55" s="18"/>
      <c r="AB55" s="18"/>
      <c r="AC55" s="18"/>
      <c r="AD55" s="18"/>
      <c r="AE55" s="18"/>
      <c r="AF55" s="18"/>
    </row>
    <row r="56" spans="2:32">
      <c r="S56" s="234" t="s">
        <v>134</v>
      </c>
      <c r="T56" s="18"/>
      <c r="U56" s="18"/>
      <c r="V56" s="18"/>
      <c r="W56" s="245"/>
      <c r="X56" s="18"/>
      <c r="Y56" s="18"/>
      <c r="Z56" s="18"/>
      <c r="AA56" s="18"/>
      <c r="AB56" s="18"/>
      <c r="AC56" s="18"/>
      <c r="AD56" s="18"/>
      <c r="AE56" s="18"/>
      <c r="AF56" s="18"/>
    </row>
    <row r="57" spans="2:32">
      <c r="S57" s="18"/>
      <c r="T57" s="18"/>
      <c r="U57" s="18"/>
      <c r="V57" s="18"/>
      <c r="W57" s="245"/>
      <c r="X57" s="18"/>
      <c r="Y57" s="18"/>
      <c r="Z57" s="18"/>
      <c r="AA57" s="18"/>
      <c r="AB57" s="18"/>
      <c r="AC57" s="18"/>
      <c r="AD57" s="18"/>
      <c r="AE57" s="18"/>
      <c r="AF57" s="18"/>
    </row>
    <row r="58" spans="2:32">
      <c r="S58" s="18"/>
      <c r="T58" s="44" t="s">
        <v>135</v>
      </c>
      <c r="U58" s="44"/>
      <c r="V58" s="44"/>
      <c r="W58" s="44"/>
      <c r="X58" s="44"/>
      <c r="Y58" s="439" t="s">
        <v>136</v>
      </c>
      <c r="Z58" s="522">
        <v>4.5</v>
      </c>
      <c r="AA58" s="520">
        <v>4.5913715163175253</v>
      </c>
      <c r="AB58" s="520">
        <v>2.9786220896742868</v>
      </c>
      <c r="AC58" s="520">
        <v>3.1923048824945353</v>
      </c>
      <c r="AD58" s="520">
        <v>1.560822438811321</v>
      </c>
      <c r="AE58" s="520">
        <v>1.333332922471868</v>
      </c>
      <c r="AF58" s="520">
        <v>0.97082491363008916</v>
      </c>
    </row>
    <row r="59" spans="2:32">
      <c r="S59" s="18"/>
      <c r="T59" s="44"/>
      <c r="U59" s="440" t="s">
        <v>137</v>
      </c>
      <c r="V59" s="44"/>
      <c r="W59" s="441"/>
      <c r="X59" s="44"/>
      <c r="Y59" s="44"/>
      <c r="Z59" s="44"/>
      <c r="AA59" s="521">
        <v>-0.88447564444446414</v>
      </c>
      <c r="AB59" s="521">
        <v>19.970034972380041</v>
      </c>
      <c r="AC59" s="521">
        <v>14.282407637682368</v>
      </c>
      <c r="AD59" s="521">
        <v>52.82731517112596</v>
      </c>
      <c r="AE59" s="521">
        <v>52.777800888742327</v>
      </c>
      <c r="AF59" s="521">
        <v>60.587222213833414</v>
      </c>
    </row>
    <row r="60" spans="2:32">
      <c r="S60" s="18"/>
      <c r="T60" s="44"/>
      <c r="U60" s="44"/>
      <c r="V60" s="44"/>
      <c r="W60" s="441"/>
      <c r="X60" s="44"/>
      <c r="Y60" s="44"/>
      <c r="Z60" s="44"/>
      <c r="AA60" s="18"/>
      <c r="AB60" s="18"/>
      <c r="AC60" s="18"/>
      <c r="AD60" s="18"/>
      <c r="AE60" s="18"/>
      <c r="AF60" s="18"/>
    </row>
    <row r="61" spans="2:32">
      <c r="S61" s="18"/>
      <c r="T61" s="44" t="s">
        <v>138</v>
      </c>
      <c r="U61" s="44"/>
      <c r="V61" s="44"/>
      <c r="W61" s="441"/>
      <c r="X61" s="44"/>
      <c r="Y61" s="439" t="s">
        <v>136</v>
      </c>
      <c r="Z61" s="519">
        <v>1.5</v>
      </c>
      <c r="AA61" s="520">
        <v>3.1114263428571411</v>
      </c>
      <c r="AB61" s="520">
        <v>3.6917667187499976</v>
      </c>
      <c r="AC61" s="520">
        <v>3.4917875314071334</v>
      </c>
      <c r="AD61" s="520">
        <v>6.4438206563142604</v>
      </c>
      <c r="AE61" s="520">
        <v>7.4263032702981855</v>
      </c>
      <c r="AF61" s="520">
        <v>9.6567361100625106</v>
      </c>
    </row>
    <row r="62" spans="2:32">
      <c r="S62" s="18"/>
      <c r="T62" s="44"/>
      <c r="U62" s="440" t="s">
        <v>137</v>
      </c>
      <c r="V62" s="44"/>
      <c r="W62" s="441"/>
      <c r="X62" s="44"/>
      <c r="Y62" s="44"/>
      <c r="Z62" s="44"/>
      <c r="AA62" s="521">
        <v>43.559968799999979</v>
      </c>
      <c r="AB62" s="521">
        <v>54.568723414008787</v>
      </c>
      <c r="AC62" s="521">
        <v>44.005843404124384</v>
      </c>
      <c r="AD62" s="521">
        <v>76.356995457099956</v>
      </c>
      <c r="AE62" s="521">
        <v>70.965963972745485</v>
      </c>
      <c r="AF62" s="521">
        <v>74.008033303224309</v>
      </c>
    </row>
    <row r="63" spans="2:32">
      <c r="S63" s="18"/>
      <c r="T63" s="44"/>
      <c r="U63" s="44"/>
      <c r="V63" s="44"/>
      <c r="W63" s="441"/>
      <c r="X63" s="44"/>
      <c r="Y63" s="44"/>
      <c r="Z63" s="44"/>
      <c r="AA63" s="18"/>
      <c r="AB63" s="18"/>
      <c r="AC63" s="18"/>
      <c r="AD63" s="18"/>
      <c r="AE63" s="18"/>
      <c r="AF63" s="18"/>
    </row>
    <row r="64" spans="2:32">
      <c r="S64" s="18"/>
      <c r="T64" s="44" t="s">
        <v>266</v>
      </c>
      <c r="U64" s="44"/>
      <c r="V64" s="44"/>
      <c r="W64" s="441"/>
      <c r="X64" s="44"/>
      <c r="Y64" s="439" t="s">
        <v>136</v>
      </c>
      <c r="Z64" s="519">
        <v>1.2</v>
      </c>
      <c r="AA64" s="520">
        <v>2.0042834857142844</v>
      </c>
      <c r="AB64" s="520">
        <v>2.6917667187499976</v>
      </c>
      <c r="AC64" s="520">
        <v>2.2840034662613924</v>
      </c>
      <c r="AD64" s="520">
        <v>5.0623320475561435</v>
      </c>
      <c r="AE64" s="520">
        <v>5.6664184636047263</v>
      </c>
      <c r="AF64" s="520">
        <v>7.3795064225625104</v>
      </c>
    </row>
    <row r="65" spans="19:32">
      <c r="S65" s="18"/>
      <c r="T65" s="44"/>
      <c r="U65" s="440" t="s">
        <v>137</v>
      </c>
      <c r="V65" s="44"/>
      <c r="W65" s="441"/>
      <c r="X65" s="44"/>
      <c r="Y65" s="44"/>
      <c r="Z65" s="44"/>
      <c r="AA65" s="521">
        <v>42.259968799999982</v>
      </c>
      <c r="AB65" s="521">
        <v>55.868267499999959</v>
      </c>
      <c r="AC65" s="521">
        <v>49.257743050468207</v>
      </c>
      <c r="AD65" s="521">
        <v>83.158747692916904</v>
      </c>
      <c r="AE65" s="521">
        <v>80.654434453069797</v>
      </c>
      <c r="AF65" s="521">
        <v>85.871726380500078</v>
      </c>
    </row>
    <row r="66" spans="19:32">
      <c r="S66" s="18"/>
      <c r="T66" s="44"/>
      <c r="U66" s="44"/>
      <c r="V66" s="44"/>
      <c r="W66" s="441"/>
      <c r="X66" s="44"/>
      <c r="Y66" s="44"/>
      <c r="Z66" s="44"/>
      <c r="AA66" s="18"/>
      <c r="AB66" s="18"/>
      <c r="AC66" s="18"/>
      <c r="AD66" s="18"/>
      <c r="AE66" s="18"/>
      <c r="AF66" s="18"/>
    </row>
    <row r="67" spans="19:32">
      <c r="S67" s="18"/>
      <c r="T67" s="44" t="s">
        <v>139</v>
      </c>
      <c r="U67" s="44"/>
      <c r="V67" s="44"/>
      <c r="W67" s="441"/>
      <c r="X67" s="44"/>
      <c r="Y67" s="439" t="s">
        <v>136</v>
      </c>
      <c r="Z67" s="518">
        <v>0.4</v>
      </c>
      <c r="AA67" s="517">
        <v>0.46339202965708987</v>
      </c>
      <c r="AB67" s="517">
        <v>0.41301475516102276</v>
      </c>
      <c r="AC67" s="517">
        <v>0.37389328234342767</v>
      </c>
      <c r="AD67" s="517">
        <v>0.29914115218041071</v>
      </c>
      <c r="AE67" s="517">
        <v>0.23472870985854033</v>
      </c>
      <c r="AF67" s="517">
        <v>0.17303213939116072</v>
      </c>
    </row>
    <row r="68" spans="19:32">
      <c r="S68" s="41"/>
      <c r="T68" s="41"/>
      <c r="U68" s="41"/>
      <c r="V68" s="41"/>
      <c r="W68" s="243"/>
      <c r="X68" s="41"/>
      <c r="Y68" s="41"/>
      <c r="Z68" s="41"/>
      <c r="AA68" s="41"/>
      <c r="AB68" s="41"/>
      <c r="AC68" s="41"/>
      <c r="AD68" s="41"/>
      <c r="AE68" s="41"/>
      <c r="AF68" s="41"/>
    </row>
  </sheetData>
  <conditionalFormatting sqref="Y25:AD25">
    <cfRule type="cellIs" dxfId="12" priority="5" stopIfTrue="1" operator="greaterThan">
      <formula>Y$31</formula>
    </cfRule>
  </conditionalFormatting>
  <conditionalFormatting sqref="Y26:AD26">
    <cfRule type="cellIs" dxfId="11" priority="7" stopIfTrue="1" operator="lessThan">
      <formula>Y$33</formula>
    </cfRule>
  </conditionalFormatting>
  <conditionalFormatting sqref="Y27:AD27">
    <cfRule type="cellIs" dxfId="10" priority="9" stopIfTrue="1" operator="greaterThan">
      <formula>Y$34</formula>
    </cfRule>
  </conditionalFormatting>
  <printOptions horizontalCentered="1"/>
  <pageMargins left="0.23622047244094491" right="0.23622047244094491" top="0.35433070866141736" bottom="0.51181102362204722" header="0.23622047244094491" footer="0.23622047244094491"/>
  <pageSetup scale="92" orientation="landscape" r:id="rId1"/>
  <headerFooter alignWithMargins="0">
    <oddFooter>&amp;L&amp;"Calibri,Bold"&amp;9The Marquee Group&amp;"Calibri,Regular"
C:\My Documents\Precision Model.xls&amp;C&amp;"Calibri,Regular"&amp;9Page &amp;P of &amp;N&amp;R&amp;"Calibri,Regular"&amp;9&amp;D  &amp;T</oddFooter>
  </headerFooter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4" stopIfTrue="1" id="{013C9CA0-157C-4F9C-BFA2-004DDE3E4D29}">
            <xm:f>Model!AA58&gt;Model!$I$426</xm:f>
            <x14:dxf>
              <font>
                <b/>
                <i val="0"/>
              </font>
              <fill>
                <patternFill patternType="solid">
                  <fgColor rgb="FFFF0000"/>
                  <bgColor rgb="FFFF0000"/>
                </patternFill>
              </fill>
            </x14:dxf>
          </x14:cfRule>
          <xm:sqref>AA58:AF58</xm:sqref>
        </x14:conditionalFormatting>
        <x14:conditionalFormatting xmlns:xm="http://schemas.microsoft.com/office/excel/2006/main">
          <x14:cfRule type="expression" priority="3" stopIfTrue="1" id="{5082C43D-EB76-45B4-A9B6-EA1A4BAE0CC8}">
            <xm:f>Model!AA61&lt;Model!$I$429</xm:f>
            <x14:dxf>
              <font>
                <b/>
                <i val="0"/>
              </font>
              <fill>
                <patternFill>
                  <fgColor rgb="FFFF0000"/>
                  <bgColor rgb="FFFF0000"/>
                </patternFill>
              </fill>
            </x14:dxf>
          </x14:cfRule>
          <xm:sqref>AA61:AF61</xm:sqref>
        </x14:conditionalFormatting>
        <x14:conditionalFormatting xmlns:xm="http://schemas.microsoft.com/office/excel/2006/main">
          <x14:cfRule type="expression" priority="2" stopIfTrue="1" id="{295A0CEB-B411-4FEF-B038-06C9DFC4A947}">
            <xm:f>Model!AA64&lt;Model!$I$432</xm:f>
            <x14:dxf>
              <font>
                <b/>
                <i val="0"/>
              </font>
              <fill>
                <patternFill>
                  <bgColor rgb="FFFF0000"/>
                </patternFill>
              </fill>
            </x14:dxf>
          </x14:cfRule>
          <xm:sqref>AA64:AF64</xm:sqref>
        </x14:conditionalFormatting>
        <x14:conditionalFormatting xmlns:xm="http://schemas.microsoft.com/office/excel/2006/main">
          <x14:cfRule type="expression" priority="1" stopIfTrue="1" id="{7DD2C9BF-699F-477F-A9DC-86AF2B71DB02}">
            <xm:f>Model!AA67&gt;Model!$I$435</xm:f>
            <x14:dxf>
              <font>
                <b/>
                <i val="0"/>
              </font>
              <fill>
                <patternFill>
                  <bgColor rgb="FFFF0000"/>
                </patternFill>
              </fill>
            </x14:dxf>
          </x14:cfRule>
          <xm:sqref>AA67:AF67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Q94"/>
  <sheetViews>
    <sheetView showGridLines="0" topLeftCell="A49" zoomScaleNormal="100" workbookViewId="0">
      <selection activeCell="L49" sqref="L49"/>
    </sheetView>
  </sheetViews>
  <sheetFormatPr defaultColWidth="8.85546875" defaultRowHeight="12.75"/>
  <cols>
    <col min="1" max="1" width="8.85546875" style="22" customWidth="1"/>
    <col min="2" max="2" width="3.5703125" style="22" customWidth="1"/>
    <col min="3" max="3" width="2.140625" style="22" customWidth="1"/>
    <col min="4" max="8" width="12.7109375" style="22" customWidth="1"/>
    <col min="9" max="12" width="12.5703125" style="22" customWidth="1"/>
    <col min="13" max="13" width="10.28515625" style="22" customWidth="1"/>
    <col min="14" max="14" width="11.85546875" style="22" customWidth="1"/>
    <col min="15" max="15" width="3.5703125" style="22" customWidth="1"/>
    <col min="16" max="16384" width="8.85546875" style="22"/>
  </cols>
  <sheetData>
    <row r="1" spans="1:17" ht="23.25">
      <c r="A1" s="18"/>
      <c r="B1" s="644" t="str">
        <f>Cover!B12</f>
        <v>Your Company Name</v>
      </c>
      <c r="C1" s="20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</row>
    <row r="2" spans="1:17" ht="18.75">
      <c r="B2" s="23" t="s">
        <v>155</v>
      </c>
      <c r="C2" s="23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</row>
    <row r="3" spans="1:17" ht="6" customHeight="1" thickBot="1">
      <c r="B3" s="25"/>
      <c r="C3" s="25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</row>
    <row r="4" spans="1:17" ht="10.15" customHeight="1"/>
    <row r="5" spans="1:17">
      <c r="C5" s="27" t="s">
        <v>101</v>
      </c>
      <c r="D5" s="28"/>
      <c r="E5" s="28"/>
      <c r="F5" s="28"/>
      <c r="G5" s="28"/>
      <c r="H5" s="29"/>
      <c r="J5" s="27" t="s">
        <v>170</v>
      </c>
      <c r="K5" s="30"/>
      <c r="L5" s="28"/>
      <c r="M5" s="28"/>
      <c r="N5" s="29"/>
    </row>
    <row r="6" spans="1:17" ht="14.1" customHeight="1">
      <c r="C6" s="31" t="s">
        <v>97</v>
      </c>
      <c r="D6" s="32" t="s">
        <v>256</v>
      </c>
      <c r="E6" s="18"/>
      <c r="F6" s="18"/>
      <c r="G6" s="660">
        <v>2020</v>
      </c>
      <c r="H6" s="33"/>
      <c r="J6" s="326" t="s">
        <v>268</v>
      </c>
      <c r="K6" s="443"/>
      <c r="L6" s="298"/>
      <c r="M6" s="444"/>
      <c r="N6" s="649">
        <v>11.5</v>
      </c>
      <c r="Q6" s="36"/>
    </row>
    <row r="7" spans="1:17" ht="14.1" customHeight="1">
      <c r="C7" s="31" t="s">
        <v>97</v>
      </c>
      <c r="D7" s="37" t="str">
        <f>CONCATENATE("5-year cash flow model discounted to December 31, ",G6-1)</f>
        <v>5-year cash flow model discounted to December 31, 2019</v>
      </c>
      <c r="E7" s="18"/>
      <c r="F7" s="18"/>
      <c r="G7" s="18"/>
      <c r="H7" s="33"/>
      <c r="J7" s="34" t="str">
        <f>"Average Stock Price - "&amp;G6-1</f>
        <v>Average Stock Price - 2019</v>
      </c>
      <c r="K7" s="18"/>
      <c r="L7" s="18"/>
      <c r="M7" s="18"/>
      <c r="N7" s="650">
        <v>10.8</v>
      </c>
    </row>
    <row r="8" spans="1:17" ht="14.1" customHeight="1">
      <c r="C8" s="31" t="s">
        <v>97</v>
      </c>
      <c r="D8" s="38" t="s">
        <v>128</v>
      </c>
      <c r="E8" s="18"/>
      <c r="F8" s="18"/>
      <c r="G8" s="18"/>
      <c r="H8" s="33"/>
      <c r="J8" s="34" t="s">
        <v>171</v>
      </c>
      <c r="K8" s="18"/>
      <c r="L8" s="18"/>
      <c r="M8" s="35"/>
      <c r="N8" s="651">
        <v>0.2</v>
      </c>
    </row>
    <row r="9" spans="1:17" ht="14.1" customHeight="1">
      <c r="C9" s="39"/>
      <c r="D9" s="40" t="s">
        <v>188</v>
      </c>
      <c r="E9" s="41"/>
      <c r="F9" s="41"/>
      <c r="G9" s="41"/>
      <c r="H9" s="42"/>
      <c r="J9" s="34" t="str">
        <f>"Fully Diluted Shares O/S (MM) - Dec. 31, "&amp;G6-1</f>
        <v>Fully Diluted Shares O/S (MM) - Dec. 31, 2019</v>
      </c>
      <c r="K9" s="18"/>
      <c r="L9" s="18"/>
      <c r="M9" s="35"/>
      <c r="N9" s="652">
        <v>14.8</v>
      </c>
    </row>
    <row r="10" spans="1:17" ht="14.1" customHeight="1">
      <c r="J10" s="43" t="s">
        <v>177</v>
      </c>
      <c r="K10" s="41"/>
      <c r="L10" s="41"/>
      <c r="M10" s="41"/>
      <c r="N10" s="653">
        <v>0.15</v>
      </c>
    </row>
    <row r="11" spans="1:17" s="44" customFormat="1">
      <c r="C11" s="27" t="s">
        <v>102</v>
      </c>
      <c r="D11" s="45"/>
      <c r="E11" s="46"/>
      <c r="F11" s="46"/>
      <c r="G11" s="46"/>
      <c r="H11" s="47"/>
    </row>
    <row r="12" spans="1:17" ht="14.1" customHeight="1">
      <c r="C12" s="31" t="s">
        <v>97</v>
      </c>
      <c r="D12" s="37" t="s">
        <v>96</v>
      </c>
      <c r="E12" s="18"/>
      <c r="F12" s="18"/>
      <c r="G12" s="18"/>
      <c r="H12" s="33"/>
      <c r="J12" s="27" t="s">
        <v>103</v>
      </c>
      <c r="K12" s="46"/>
      <c r="L12" s="46"/>
      <c r="M12" s="46"/>
      <c r="N12" s="47"/>
    </row>
    <row r="13" spans="1:17" ht="14.1" customHeight="1">
      <c r="C13" s="49" t="s">
        <v>0</v>
      </c>
      <c r="D13" s="50"/>
      <c r="E13" s="51" t="str">
        <f>Scenarios!G6&amp;" - "&amp;Scenarios!K6</f>
        <v>2020 - 2024</v>
      </c>
      <c r="F13" s="52"/>
      <c r="G13" s="51" t="s">
        <v>1</v>
      </c>
      <c r="H13" s="53"/>
      <c r="J13" s="48" t="s">
        <v>98</v>
      </c>
      <c r="K13" s="18"/>
      <c r="L13" s="18"/>
      <c r="M13" s="18"/>
      <c r="N13" s="654">
        <v>350</v>
      </c>
    </row>
    <row r="14" spans="1:17" s="56" customFormat="1" ht="15.75">
      <c r="C14" s="57" t="s">
        <v>70</v>
      </c>
      <c r="D14" s="18"/>
      <c r="E14" s="24" t="s">
        <v>237</v>
      </c>
      <c r="F14" s="24"/>
      <c r="G14" s="24" t="s">
        <v>95</v>
      </c>
      <c r="H14" s="58"/>
      <c r="I14" s="59"/>
      <c r="J14" s="54" t="s">
        <v>156</v>
      </c>
      <c r="K14" s="55"/>
      <c r="L14" s="55"/>
      <c r="M14" s="55"/>
      <c r="N14" s="655">
        <v>1200</v>
      </c>
    </row>
    <row r="15" spans="1:17" ht="14.1" customHeight="1">
      <c r="C15" s="57" t="s">
        <v>71</v>
      </c>
      <c r="D15" s="18"/>
      <c r="E15" s="641">
        <v>0.05</v>
      </c>
      <c r="F15" s="24"/>
      <c r="G15" s="24" t="s">
        <v>95</v>
      </c>
      <c r="H15" s="58"/>
      <c r="I15" s="32"/>
    </row>
    <row r="16" spans="1:17" ht="15.6" customHeight="1">
      <c r="C16" s="61" t="s">
        <v>72</v>
      </c>
      <c r="D16" s="41"/>
      <c r="E16" s="642">
        <v>-0.05</v>
      </c>
      <c r="F16" s="62"/>
      <c r="G16" s="62" t="s">
        <v>95</v>
      </c>
      <c r="H16" s="63"/>
      <c r="I16" s="32"/>
      <c r="J16" s="60" t="s">
        <v>104</v>
      </c>
      <c r="K16" s="28"/>
      <c r="L16" s="28"/>
      <c r="M16" s="28"/>
      <c r="N16" s="29"/>
    </row>
    <row r="17" spans="3:15" ht="14.1" customHeight="1">
      <c r="I17" s="32"/>
      <c r="J17" s="48" t="s">
        <v>99</v>
      </c>
      <c r="K17" s="18"/>
      <c r="L17" s="18"/>
      <c r="M17" s="18"/>
      <c r="N17" s="33"/>
    </row>
    <row r="18" spans="3:15" ht="14.1" customHeight="1">
      <c r="C18" s="27" t="s">
        <v>113</v>
      </c>
      <c r="D18" s="28"/>
      <c r="E18" s="28"/>
      <c r="F18" s="28"/>
      <c r="G18" s="28"/>
      <c r="H18" s="29"/>
      <c r="J18" s="48" t="s">
        <v>100</v>
      </c>
      <c r="K18" s="18"/>
      <c r="L18" s="18"/>
      <c r="M18" s="18"/>
      <c r="N18" s="651">
        <v>0.21</v>
      </c>
    </row>
    <row r="19" spans="3:15" ht="15.6" customHeight="1">
      <c r="C19" s="48" t="s">
        <v>120</v>
      </c>
      <c r="D19" s="18"/>
      <c r="E19" s="18"/>
      <c r="F19" s="18"/>
      <c r="H19" s="78" t="s">
        <v>114</v>
      </c>
      <c r="J19" s="48" t="s">
        <v>212</v>
      </c>
      <c r="K19" s="18"/>
      <c r="L19" s="18"/>
      <c r="M19" s="18"/>
      <c r="N19" s="651">
        <v>0.2</v>
      </c>
    </row>
    <row r="20" spans="3:15" ht="14.1" customHeight="1">
      <c r="C20" s="79" t="s">
        <v>258</v>
      </c>
      <c r="D20" s="18"/>
      <c r="E20" s="18"/>
      <c r="F20" s="18"/>
      <c r="H20" s="643">
        <v>25</v>
      </c>
      <c r="J20" s="48" t="s">
        <v>213</v>
      </c>
      <c r="K20" s="18"/>
      <c r="L20" s="18"/>
      <c r="M20" s="18"/>
      <c r="N20" s="656">
        <v>25</v>
      </c>
    </row>
    <row r="21" spans="3:15" ht="14.1" customHeight="1">
      <c r="C21" s="81" t="s">
        <v>259</v>
      </c>
      <c r="D21" s="41"/>
      <c r="E21" s="41"/>
      <c r="F21" s="41"/>
      <c r="G21" s="41"/>
      <c r="H21" s="643">
        <v>30</v>
      </c>
      <c r="J21" s="54" t="s">
        <v>214</v>
      </c>
      <c r="K21" s="41"/>
      <c r="L21" s="41"/>
      <c r="M21" s="41"/>
      <c r="N21" s="657">
        <v>116.2</v>
      </c>
    </row>
    <row r="22" spans="3:15" ht="14.1" customHeight="1">
      <c r="C22" s="514"/>
      <c r="D22" s="41"/>
      <c r="E22" s="41"/>
      <c r="F22" s="41"/>
      <c r="G22" s="442"/>
    </row>
    <row r="23" spans="3:15" ht="14.1" customHeight="1">
      <c r="C23" s="27" t="s">
        <v>140</v>
      </c>
      <c r="D23" s="30"/>
      <c r="E23" s="28"/>
      <c r="F23" s="28"/>
      <c r="G23" s="28"/>
      <c r="H23" s="29"/>
      <c r="J23" s="27" t="s">
        <v>105</v>
      </c>
      <c r="K23" s="30"/>
      <c r="L23" s="28"/>
      <c r="M23" s="28"/>
      <c r="N23" s="29"/>
      <c r="O23"/>
    </row>
    <row r="24" spans="3:15" ht="15.6" customHeight="1">
      <c r="C24" s="68" t="s">
        <v>257</v>
      </c>
      <c r="D24" s="69"/>
      <c r="E24" s="70"/>
      <c r="F24" s="70"/>
      <c r="G24" s="70"/>
      <c r="H24" s="71"/>
      <c r="J24" s="64" t="s">
        <v>106</v>
      </c>
      <c r="K24" s="65">
        <f>G6</f>
        <v>2020</v>
      </c>
      <c r="L24" s="18"/>
      <c r="M24" s="65" t="s">
        <v>108</v>
      </c>
      <c r="N24" s="33"/>
    </row>
    <row r="25" spans="3:15" ht="15.6" customHeight="1">
      <c r="C25" s="31" t="s">
        <v>97</v>
      </c>
      <c r="D25" s="32" t="s">
        <v>199</v>
      </c>
      <c r="E25" s="18"/>
      <c r="F25" s="18"/>
      <c r="G25" s="72"/>
      <c r="H25" s="645">
        <v>0.02</v>
      </c>
      <c r="J25" s="66" t="s">
        <v>107</v>
      </c>
      <c r="K25" s="658">
        <v>226</v>
      </c>
      <c r="L25" s="18" t="s">
        <v>254</v>
      </c>
      <c r="M25" s="18" t="s">
        <v>109</v>
      </c>
      <c r="N25" s="33"/>
    </row>
    <row r="26" spans="3:15" ht="15.6" customHeight="1">
      <c r="C26" s="31" t="s">
        <v>97</v>
      </c>
      <c r="D26" s="73" t="s">
        <v>200</v>
      </c>
      <c r="E26" s="18"/>
      <c r="F26" s="18"/>
      <c r="G26" s="18"/>
      <c r="H26" s="645">
        <v>0.08</v>
      </c>
      <c r="J26" s="66" t="s">
        <v>37</v>
      </c>
      <c r="K26" s="658">
        <v>66.099999999999994</v>
      </c>
      <c r="L26" s="18" t="s">
        <v>254</v>
      </c>
      <c r="M26" s="18" t="s">
        <v>109</v>
      </c>
      <c r="N26" s="33"/>
    </row>
    <row r="27" spans="3:15" ht="15.6" customHeight="1">
      <c r="C27" s="31" t="s">
        <v>97</v>
      </c>
      <c r="D27" s="73" t="s">
        <v>201</v>
      </c>
      <c r="E27" s="18"/>
      <c r="F27" s="18"/>
      <c r="G27" s="18"/>
      <c r="H27" s="645">
        <v>0.08</v>
      </c>
      <c r="J27" s="66" t="s">
        <v>62</v>
      </c>
      <c r="K27" s="658">
        <v>11.2</v>
      </c>
      <c r="L27" s="18" t="s">
        <v>253</v>
      </c>
      <c r="M27" s="18" t="s">
        <v>112</v>
      </c>
      <c r="N27" s="33"/>
    </row>
    <row r="28" spans="3:15" ht="14.1" customHeight="1">
      <c r="C28" s="31"/>
      <c r="D28" s="18"/>
      <c r="E28" s="18"/>
      <c r="F28" s="18"/>
      <c r="G28" s="18"/>
      <c r="H28" s="74"/>
      <c r="J28" s="66" t="s">
        <v>63</v>
      </c>
      <c r="K28" s="658">
        <v>12.2</v>
      </c>
      <c r="L28" s="18" t="s">
        <v>253</v>
      </c>
      <c r="M28" s="18" t="s">
        <v>112</v>
      </c>
      <c r="N28" s="33"/>
    </row>
    <row r="29" spans="3:15" ht="15.6" customHeight="1">
      <c r="C29" s="75" t="s">
        <v>141</v>
      </c>
      <c r="D29" s="65"/>
      <c r="E29" s="18"/>
      <c r="F29" s="18"/>
      <c r="G29" s="18"/>
      <c r="H29" s="71"/>
      <c r="J29" s="66" t="s">
        <v>279</v>
      </c>
      <c r="K29" s="658">
        <v>26</v>
      </c>
      <c r="L29" s="18" t="s">
        <v>253</v>
      </c>
      <c r="M29" s="18" t="s">
        <v>112</v>
      </c>
      <c r="N29" s="33"/>
    </row>
    <row r="30" spans="3:15" ht="14.1" customHeight="1">
      <c r="C30" s="31" t="s">
        <v>97</v>
      </c>
      <c r="D30" s="18" t="s">
        <v>135</v>
      </c>
      <c r="E30" s="18"/>
      <c r="F30" s="18"/>
      <c r="G30" s="76"/>
      <c r="H30" s="646">
        <v>4.5</v>
      </c>
      <c r="J30" s="66" t="s">
        <v>110</v>
      </c>
      <c r="K30" s="658">
        <v>10.199999999999999</v>
      </c>
      <c r="L30" s="18" t="s">
        <v>253</v>
      </c>
      <c r="M30" s="18" t="s">
        <v>112</v>
      </c>
      <c r="N30" s="33"/>
    </row>
    <row r="31" spans="3:15" ht="14.1" customHeight="1">
      <c r="C31" s="31" t="s">
        <v>97</v>
      </c>
      <c r="D31" s="77" t="s">
        <v>142</v>
      </c>
      <c r="E31" s="18"/>
      <c r="F31" s="18"/>
      <c r="G31" s="76"/>
      <c r="H31" s="647">
        <v>1.5</v>
      </c>
      <c r="J31" s="66" t="s">
        <v>189</v>
      </c>
      <c r="K31" s="658">
        <v>7.1</v>
      </c>
      <c r="L31" s="18" t="s">
        <v>253</v>
      </c>
      <c r="M31" s="18" t="s">
        <v>112</v>
      </c>
      <c r="N31" s="33"/>
    </row>
    <row r="32" spans="3:15" ht="14.1" customHeight="1">
      <c r="C32" s="31" t="s">
        <v>97</v>
      </c>
      <c r="D32" s="77" t="s">
        <v>267</v>
      </c>
      <c r="E32" s="18"/>
      <c r="F32" s="18"/>
      <c r="G32" s="76"/>
      <c r="H32" s="647">
        <v>1.2</v>
      </c>
      <c r="J32" s="66" t="s">
        <v>14</v>
      </c>
      <c r="K32" s="658">
        <v>2</v>
      </c>
      <c r="L32" s="18" t="s">
        <v>253</v>
      </c>
      <c r="M32" s="18" t="s">
        <v>112</v>
      </c>
      <c r="N32" s="33"/>
    </row>
    <row r="33" spans="2:15" ht="14.1" customHeight="1">
      <c r="C33" s="39" t="s">
        <v>97</v>
      </c>
      <c r="D33" s="41" t="s">
        <v>139</v>
      </c>
      <c r="E33" s="41"/>
      <c r="F33" s="41"/>
      <c r="G33" s="80"/>
      <c r="H33" s="648">
        <v>0.4</v>
      </c>
      <c r="J33" s="67" t="s">
        <v>111</v>
      </c>
      <c r="K33" s="659">
        <v>3.9</v>
      </c>
      <c r="L33" s="41" t="s">
        <v>253</v>
      </c>
      <c r="M33" s="41" t="s">
        <v>112</v>
      </c>
      <c r="N33" s="42"/>
    </row>
    <row r="34" spans="2:15" ht="14.1" customHeight="1">
      <c r="J34"/>
      <c r="K34"/>
      <c r="L34"/>
      <c r="M34"/>
      <c r="N34"/>
    </row>
    <row r="35" spans="2:15" ht="6" customHeight="1">
      <c r="B35" s="41"/>
      <c r="C35" s="41"/>
      <c r="D35" s="82"/>
      <c r="E35" s="62"/>
      <c r="F35" s="62"/>
      <c r="G35" s="62"/>
      <c r="H35" s="62"/>
      <c r="I35" s="41"/>
      <c r="J35" s="41"/>
      <c r="K35" s="41"/>
      <c r="L35" s="41"/>
      <c r="M35" s="41"/>
      <c r="N35" s="41"/>
      <c r="O35" s="41"/>
    </row>
    <row r="36" spans="2:15" ht="12.75" customHeight="1">
      <c r="B36" s="18"/>
      <c r="C36" s="18"/>
      <c r="D36" s="83"/>
      <c r="E36" s="24"/>
      <c r="F36" s="24"/>
      <c r="G36" s="24"/>
      <c r="H36" s="24"/>
      <c r="I36" s="18"/>
      <c r="J36" s="18"/>
      <c r="K36" s="18"/>
      <c r="L36" s="18"/>
      <c r="M36" s="18"/>
      <c r="N36" s="18"/>
      <c r="O36" s="18"/>
    </row>
    <row r="37" spans="2:15" ht="12.75" customHeight="1">
      <c r="B37" s="18"/>
      <c r="C37" s="18"/>
      <c r="D37" s="83"/>
      <c r="E37" s="24"/>
      <c r="F37" s="24"/>
      <c r="G37" s="24"/>
      <c r="H37" s="24"/>
      <c r="I37" s="18"/>
      <c r="J37" s="18"/>
      <c r="K37" s="18"/>
      <c r="L37" s="18"/>
      <c r="M37" s="18"/>
      <c r="N37" s="18"/>
      <c r="O37" s="18"/>
    </row>
    <row r="38" spans="2:15" ht="23.25">
      <c r="B38" s="19" t="str">
        <f>B1</f>
        <v>Your Company Name</v>
      </c>
      <c r="C38" s="20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2"/>
    </row>
    <row r="39" spans="2:15" ht="18.75">
      <c r="B39" s="23" t="s">
        <v>155</v>
      </c>
      <c r="C39" s="23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32"/>
    </row>
    <row r="40" spans="2:15" ht="6" customHeight="1" thickBot="1">
      <c r="B40" s="25"/>
      <c r="C40" s="25"/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32"/>
    </row>
    <row r="41" spans="2:15" ht="6" customHeight="1">
      <c r="B41" s="18"/>
      <c r="C41" s="18"/>
      <c r="D41" s="83"/>
      <c r="E41" s="24"/>
      <c r="F41" s="24"/>
      <c r="G41" s="24"/>
      <c r="H41" s="24"/>
      <c r="I41" s="18"/>
      <c r="J41" s="18"/>
      <c r="K41" s="18"/>
      <c r="L41" s="18"/>
      <c r="M41" s="18"/>
      <c r="N41" s="32"/>
      <c r="O41" s="32"/>
    </row>
    <row r="42" spans="2:15" ht="15.6" customHeight="1">
      <c r="C42" s="84" t="s">
        <v>116</v>
      </c>
    </row>
    <row r="43" spans="2:15" ht="14.1" customHeight="1">
      <c r="C43" s="76" t="s">
        <v>97</v>
      </c>
      <c r="D43" s="290" t="str">
        <f>CONCATENATE("Capex has been assumed at ", TEXT(G53, "#.#0")," million in ",G48,", ",TEXT(H53, "0.0")," million in ", H48," and grown at inflation thereafter")</f>
        <v>Capex has been assumed at 16.0 million in 2020, 17.0 million in 2021 and grown at inflation thereafter</v>
      </c>
      <c r="E43" s="291"/>
    </row>
    <row r="44" spans="2:15" ht="14.1" customHeight="1">
      <c r="C44" s="76" t="s">
        <v>97</v>
      </c>
      <c r="D44" s="290" t="s">
        <v>69</v>
      </c>
      <c r="E44" s="291"/>
    </row>
    <row r="45" spans="2:15" ht="14.1" customHeight="1">
      <c r="C45" s="76" t="s">
        <v>97</v>
      </c>
      <c r="D45" s="85" t="s">
        <v>117</v>
      </c>
    </row>
    <row r="46" spans="2:15" ht="14.1" customHeight="1">
      <c r="C46" s="76"/>
      <c r="D46" s="85" t="s">
        <v>118</v>
      </c>
    </row>
    <row r="47" spans="2:15" ht="6" customHeight="1">
      <c r="C47" s="86"/>
    </row>
    <row r="48" spans="2:15" s="91" customFormat="1" ht="15.75">
      <c r="C48" s="87"/>
      <c r="D48" s="88" t="s">
        <v>215</v>
      </c>
      <c r="E48" s="28"/>
      <c r="F48" s="28"/>
      <c r="G48" s="89">
        <f>G6</f>
        <v>2020</v>
      </c>
      <c r="H48" s="89">
        <f>G48+1</f>
        <v>2021</v>
      </c>
      <c r="I48" s="89">
        <f>H48+1</f>
        <v>2022</v>
      </c>
      <c r="J48" s="89">
        <f>I48+1</f>
        <v>2023</v>
      </c>
      <c r="K48" s="106">
        <f>J48+1</f>
        <v>2024</v>
      </c>
      <c r="L48"/>
      <c r="M48" s="90"/>
      <c r="N48" s="90"/>
    </row>
    <row r="49" spans="3:15" ht="6" customHeight="1">
      <c r="C49" s="70"/>
      <c r="D49" s="34"/>
      <c r="E49" s="18"/>
      <c r="F49" s="18"/>
      <c r="G49" s="18"/>
      <c r="H49" s="18"/>
      <c r="I49" s="18"/>
      <c r="J49" s="18"/>
      <c r="K49" s="33"/>
      <c r="L49"/>
      <c r="M49" s="18"/>
      <c r="N49" s="18"/>
    </row>
    <row r="50" spans="3:15">
      <c r="C50" s="70"/>
      <c r="D50" s="48" t="s">
        <v>54</v>
      </c>
      <c r="E50" s="18"/>
      <c r="F50" s="18"/>
      <c r="G50" s="661">
        <v>16</v>
      </c>
      <c r="H50" s="661">
        <v>17</v>
      </c>
      <c r="I50" s="93">
        <f>H50*(1+Scenarios!I$11)</f>
        <v>17.34</v>
      </c>
      <c r="J50" s="93">
        <f>I50*(1+Scenarios!J$11)</f>
        <v>17.773499999999999</v>
      </c>
      <c r="K50" s="93">
        <f>J50*(1+Scenarios!K$11)</f>
        <v>18.217837499999998</v>
      </c>
      <c r="L50"/>
      <c r="M50" s="93"/>
      <c r="N50" s="93"/>
    </row>
    <row r="51" spans="3:15">
      <c r="C51" s="70"/>
      <c r="D51" s="94" t="s">
        <v>55</v>
      </c>
      <c r="E51" s="18"/>
      <c r="F51" s="18"/>
      <c r="G51" s="92">
        <v>0</v>
      </c>
      <c r="H51" s="92">
        <v>0</v>
      </c>
      <c r="I51" s="92">
        <v>0</v>
      </c>
      <c r="J51" s="92">
        <v>0</v>
      </c>
      <c r="K51" s="95">
        <v>0</v>
      </c>
      <c r="L51"/>
      <c r="M51" s="92"/>
      <c r="N51" s="92"/>
    </row>
    <row r="52" spans="3:15">
      <c r="C52" s="70"/>
      <c r="D52" s="34" t="s">
        <v>4</v>
      </c>
      <c r="E52" s="18"/>
      <c r="F52" s="18"/>
      <c r="G52" s="96">
        <v>0</v>
      </c>
      <c r="H52" s="96">
        <v>0</v>
      </c>
      <c r="I52" s="96">
        <v>0</v>
      </c>
      <c r="J52" s="96">
        <v>0</v>
      </c>
      <c r="K52" s="97">
        <v>0</v>
      </c>
      <c r="L52"/>
      <c r="M52" s="92"/>
      <c r="N52" s="92"/>
    </row>
    <row r="53" spans="3:15">
      <c r="C53" s="70"/>
      <c r="D53" s="98" t="s">
        <v>3</v>
      </c>
      <c r="E53" s="18"/>
      <c r="F53" s="18"/>
      <c r="G53" s="99">
        <f t="shared" ref="G53:K53" si="0">SUM(G50:G52)</f>
        <v>16</v>
      </c>
      <c r="H53" s="99">
        <f t="shared" si="0"/>
        <v>17</v>
      </c>
      <c r="I53" s="99">
        <f t="shared" si="0"/>
        <v>17.34</v>
      </c>
      <c r="J53" s="99">
        <f t="shared" si="0"/>
        <v>17.773499999999999</v>
      </c>
      <c r="K53" s="100">
        <f t="shared" si="0"/>
        <v>18.217837499999998</v>
      </c>
      <c r="L53"/>
      <c r="M53" s="99"/>
      <c r="N53" s="99"/>
    </row>
    <row r="54" spans="3:15" ht="6" customHeight="1">
      <c r="C54" s="70"/>
      <c r="D54" s="43"/>
      <c r="E54" s="101"/>
      <c r="F54" s="101"/>
      <c r="G54" s="101"/>
      <c r="H54" s="101"/>
      <c r="I54" s="102"/>
      <c r="J54" s="101"/>
      <c r="K54" s="103"/>
      <c r="L54"/>
      <c r="M54" s="104"/>
      <c r="N54" s="104"/>
      <c r="O54" s="104"/>
    </row>
    <row r="55" spans="3:15" ht="6" customHeight="1">
      <c r="C55" s="70"/>
      <c r="D55" s="18"/>
      <c r="G55" s="18"/>
      <c r="H55" s="104"/>
      <c r="I55" s="105"/>
      <c r="J55" s="104"/>
      <c r="K55" s="104"/>
      <c r="L55" s="104"/>
      <c r="M55" s="104"/>
      <c r="N55" s="104"/>
      <c r="O55" s="104"/>
    </row>
    <row r="56" spans="3:15" ht="12.75" customHeight="1">
      <c r="C56" s="70"/>
      <c r="D56" s="18"/>
      <c r="G56" s="18"/>
      <c r="H56" s="104"/>
      <c r="I56" s="105"/>
      <c r="J56" s="104"/>
      <c r="K56" s="104"/>
      <c r="L56" s="104"/>
      <c r="M56" s="104"/>
      <c r="N56" s="104"/>
      <c r="O56" s="104"/>
    </row>
    <row r="57" spans="3:15" ht="15.6" customHeight="1">
      <c r="C57" s="84" t="s">
        <v>194</v>
      </c>
    </row>
    <row r="58" spans="3:15" ht="6" customHeight="1">
      <c r="C58" s="84"/>
    </row>
    <row r="59" spans="3:15" ht="15.6" customHeight="1">
      <c r="C59" s="84"/>
      <c r="D59" s="88" t="s">
        <v>215</v>
      </c>
      <c r="E59" s="28"/>
      <c r="F59" s="28"/>
      <c r="G59" s="89">
        <f>G48</f>
        <v>2020</v>
      </c>
      <c r="H59" s="89">
        <f>G59+1</f>
        <v>2021</v>
      </c>
      <c r="I59" s="89">
        <f>H59+1</f>
        <v>2022</v>
      </c>
      <c r="J59" s="89">
        <f>I59+1</f>
        <v>2023</v>
      </c>
      <c r="K59" s="106">
        <f>J59+1</f>
        <v>2024</v>
      </c>
      <c r="L59" s="104"/>
    </row>
    <row r="60" spans="3:15" ht="6" customHeight="1">
      <c r="C60" s="70"/>
      <c r="D60" s="34"/>
      <c r="E60" s="18"/>
      <c r="F60" s="18"/>
      <c r="G60" s="18"/>
      <c r="H60" s="18"/>
      <c r="I60" s="18"/>
      <c r="J60" s="18"/>
      <c r="K60" s="33"/>
      <c r="L60" s="18"/>
      <c r="M60" s="104"/>
      <c r="N60" s="104"/>
      <c r="O60" s="104"/>
    </row>
    <row r="61" spans="3:15">
      <c r="C61" s="70"/>
      <c r="D61" s="94" t="s">
        <v>191</v>
      </c>
      <c r="E61" s="18"/>
      <c r="F61" s="18"/>
      <c r="G61" s="92">
        <v>0</v>
      </c>
      <c r="H61" s="92">
        <v>0</v>
      </c>
      <c r="I61" s="92">
        <v>0</v>
      </c>
      <c r="J61" s="92">
        <v>0</v>
      </c>
      <c r="K61" s="95">
        <v>0</v>
      </c>
      <c r="L61" s="92"/>
      <c r="M61" s="92"/>
      <c r="N61" s="92"/>
    </row>
    <row r="62" spans="3:15">
      <c r="C62" s="70"/>
      <c r="D62" s="94" t="s">
        <v>192</v>
      </c>
      <c r="E62" s="18"/>
      <c r="F62" s="18"/>
      <c r="G62" s="92">
        <v>0</v>
      </c>
      <c r="H62" s="92">
        <v>0</v>
      </c>
      <c r="I62" s="92">
        <v>0</v>
      </c>
      <c r="J62" s="92">
        <v>0</v>
      </c>
      <c r="K62" s="95">
        <v>0</v>
      </c>
      <c r="L62" s="92"/>
      <c r="M62" s="92"/>
      <c r="N62" s="92"/>
    </row>
    <row r="63" spans="3:15">
      <c r="C63" s="70"/>
      <c r="D63" s="94" t="s">
        <v>193</v>
      </c>
      <c r="E63" s="18"/>
      <c r="F63" s="18"/>
      <c r="G63" s="96">
        <v>0</v>
      </c>
      <c r="H63" s="96">
        <v>0</v>
      </c>
      <c r="I63" s="96">
        <v>0</v>
      </c>
      <c r="J63" s="96">
        <v>0</v>
      </c>
      <c r="K63" s="97">
        <v>0</v>
      </c>
      <c r="L63" s="92"/>
      <c r="M63" s="92"/>
      <c r="N63" s="92"/>
    </row>
    <row r="64" spans="3:15">
      <c r="C64" s="70"/>
      <c r="D64" s="98" t="s">
        <v>3</v>
      </c>
      <c r="E64" s="18"/>
      <c r="F64" s="18"/>
      <c r="G64" s="99">
        <f>SUM(G61:G63)</f>
        <v>0</v>
      </c>
      <c r="H64" s="99">
        <f>SUM(H61:H63)</f>
        <v>0</v>
      </c>
      <c r="I64" s="99">
        <f>SUM(I61:I63)</f>
        <v>0</v>
      </c>
      <c r="J64" s="99">
        <f>SUM(J61:J63)</f>
        <v>0</v>
      </c>
      <c r="K64" s="100">
        <f>SUM(K61:K63)</f>
        <v>0</v>
      </c>
      <c r="L64" s="104"/>
      <c r="M64" s="99"/>
      <c r="N64" s="99"/>
    </row>
    <row r="65" spans="3:15" ht="6" customHeight="1">
      <c r="C65" s="70"/>
      <c r="D65" s="43"/>
      <c r="E65" s="101"/>
      <c r="F65" s="101"/>
      <c r="G65" s="101"/>
      <c r="H65" s="101"/>
      <c r="I65" s="102"/>
      <c r="J65" s="101"/>
      <c r="K65" s="103"/>
      <c r="L65" s="104"/>
      <c r="M65" s="104"/>
      <c r="N65" s="104"/>
      <c r="O65" s="104"/>
    </row>
    <row r="66" spans="3:15" ht="6" customHeight="1">
      <c r="C66" s="70"/>
      <c r="D66" s="18"/>
      <c r="E66" s="18"/>
      <c r="F66" s="18"/>
      <c r="G66" s="18"/>
      <c r="H66" s="104"/>
      <c r="I66" s="105"/>
      <c r="J66" s="104"/>
      <c r="K66" s="104"/>
      <c r="L66" s="104"/>
      <c r="M66" s="104"/>
      <c r="N66" s="104"/>
      <c r="O66" s="104"/>
    </row>
    <row r="68" spans="3:15" ht="15.6" customHeight="1">
      <c r="C68" s="84" t="s">
        <v>115</v>
      </c>
    </row>
    <row r="69" spans="3:15" ht="6" customHeight="1">
      <c r="C69" s="70"/>
      <c r="D69" s="18"/>
      <c r="G69" s="18"/>
      <c r="H69" s="104"/>
      <c r="I69" s="105"/>
      <c r="J69" s="104"/>
      <c r="K69" s="104"/>
      <c r="L69" s="104"/>
      <c r="M69" s="104"/>
      <c r="N69" s="104"/>
      <c r="O69" s="104"/>
    </row>
    <row r="70" spans="3:15" s="91" customFormat="1" ht="15.75">
      <c r="C70" s="87"/>
      <c r="D70" s="88" t="s">
        <v>50</v>
      </c>
      <c r="E70" s="28"/>
      <c r="F70" s="28"/>
      <c r="G70" s="89">
        <f>G59</f>
        <v>2020</v>
      </c>
      <c r="H70" s="89">
        <f>G70+1</f>
        <v>2021</v>
      </c>
      <c r="I70" s="89">
        <f>H70+1</f>
        <v>2022</v>
      </c>
      <c r="J70" s="89">
        <f>I70+1</f>
        <v>2023</v>
      </c>
      <c r="K70" s="106">
        <f>J70+1</f>
        <v>2024</v>
      </c>
      <c r="L70" s="104"/>
      <c r="M70" s="90"/>
      <c r="N70" s="90"/>
    </row>
    <row r="71" spans="3:15" ht="6" customHeight="1">
      <c r="C71" s="70"/>
      <c r="D71" s="34"/>
      <c r="G71" s="18"/>
      <c r="H71" s="18"/>
      <c r="I71" s="18"/>
      <c r="J71" s="18"/>
      <c r="K71" s="33"/>
      <c r="L71" s="18"/>
      <c r="M71" s="18"/>
      <c r="N71" s="18"/>
    </row>
    <row r="72" spans="3:15">
      <c r="C72" s="70"/>
      <c r="D72" s="94" t="s">
        <v>18</v>
      </c>
      <c r="G72" s="92">
        <v>45</v>
      </c>
      <c r="H72" s="92">
        <v>40</v>
      </c>
      <c r="I72" s="92">
        <v>40</v>
      </c>
      <c r="J72" s="92">
        <v>40</v>
      </c>
      <c r="K72" s="95">
        <v>40</v>
      </c>
      <c r="L72" s="92"/>
      <c r="M72" s="92"/>
      <c r="N72" s="92"/>
    </row>
    <row r="73" spans="3:15">
      <c r="C73" s="70"/>
      <c r="D73" s="94" t="s">
        <v>32</v>
      </c>
      <c r="G73" s="92">
        <v>70</v>
      </c>
      <c r="H73" s="92">
        <v>65</v>
      </c>
      <c r="I73" s="92">
        <v>60</v>
      </c>
      <c r="J73" s="92">
        <v>60</v>
      </c>
      <c r="K73" s="95">
        <v>55</v>
      </c>
      <c r="L73" s="92"/>
      <c r="M73" s="92"/>
      <c r="N73" s="92"/>
    </row>
    <row r="74" spans="3:15">
      <c r="C74" s="70"/>
      <c r="D74" s="94" t="s">
        <v>24</v>
      </c>
      <c r="G74" s="92">
        <v>40</v>
      </c>
      <c r="H74" s="92">
        <v>40</v>
      </c>
      <c r="I74" s="92">
        <v>40</v>
      </c>
      <c r="J74" s="92">
        <v>40</v>
      </c>
      <c r="K74" s="95">
        <v>40</v>
      </c>
      <c r="L74" s="92"/>
      <c r="M74" s="92"/>
      <c r="N74" s="92"/>
    </row>
    <row r="75" spans="3:15" ht="6" customHeight="1">
      <c r="C75" s="70"/>
      <c r="D75" s="43"/>
      <c r="E75" s="41"/>
      <c r="F75" s="41"/>
      <c r="G75" s="41"/>
      <c r="H75" s="101"/>
      <c r="I75" s="102"/>
      <c r="J75" s="101"/>
      <c r="K75" s="103"/>
      <c r="L75" s="104"/>
      <c r="M75" s="104"/>
      <c r="N75" s="104"/>
      <c r="O75" s="104"/>
    </row>
    <row r="76" spans="3:15" s="18" customFormat="1" ht="6" customHeight="1">
      <c r="C76" s="70"/>
      <c r="H76" s="104"/>
      <c r="I76" s="105"/>
      <c r="J76" s="104"/>
      <c r="K76" s="104"/>
      <c r="L76" s="104"/>
      <c r="M76" s="104"/>
      <c r="N76" s="104"/>
      <c r="O76" s="104"/>
    </row>
    <row r="77" spans="3:15" s="18" customFormat="1" ht="13.15" customHeight="1">
      <c r="C77" s="70"/>
      <c r="H77" s="104"/>
      <c r="I77" s="105"/>
      <c r="J77" s="104"/>
      <c r="K77" s="104"/>
      <c r="L77" s="104"/>
      <c r="M77" s="104"/>
      <c r="N77" s="104"/>
      <c r="O77" s="104"/>
    </row>
    <row r="78" spans="3:15" ht="15.6" customHeight="1">
      <c r="C78" s="84" t="s">
        <v>172</v>
      </c>
    </row>
    <row r="79" spans="3:15" ht="6" customHeight="1">
      <c r="C79" s="70"/>
      <c r="D79" s="18"/>
      <c r="G79" s="18"/>
      <c r="H79" s="104"/>
      <c r="I79" s="105"/>
      <c r="J79" s="104"/>
      <c r="K79" s="104"/>
      <c r="L79" s="104"/>
      <c r="M79" s="104"/>
      <c r="N79" s="104"/>
      <c r="O79" s="104"/>
    </row>
    <row r="80" spans="3:15" s="91" customFormat="1" ht="15.75">
      <c r="C80" s="87"/>
      <c r="D80" s="88" t="s">
        <v>215</v>
      </c>
      <c r="E80" s="28"/>
      <c r="F80" s="28"/>
      <c r="G80" s="89">
        <f>G70</f>
        <v>2020</v>
      </c>
      <c r="H80" s="89">
        <f>G80+1</f>
        <v>2021</v>
      </c>
      <c r="I80" s="89">
        <f>H80+1</f>
        <v>2022</v>
      </c>
      <c r="J80" s="89">
        <f>I80+1</f>
        <v>2023</v>
      </c>
      <c r="K80" s="106">
        <f>J80+1</f>
        <v>2024</v>
      </c>
      <c r="L80" s="104"/>
      <c r="M80" s="90"/>
      <c r="N80" s="90"/>
    </row>
    <row r="81" spans="2:15" ht="6" customHeight="1">
      <c r="C81" s="70"/>
      <c r="D81" s="34"/>
      <c r="G81" s="18"/>
      <c r="H81" s="18"/>
      <c r="I81" s="18"/>
      <c r="J81" s="18"/>
      <c r="K81" s="33"/>
      <c r="L81" s="18"/>
      <c r="M81" s="18"/>
      <c r="N81" s="18"/>
    </row>
    <row r="82" spans="2:15">
      <c r="C82" s="70"/>
      <c r="D82" s="94" t="s">
        <v>202</v>
      </c>
      <c r="G82" s="635">
        <v>-25</v>
      </c>
      <c r="H82" s="635">
        <v>-25</v>
      </c>
      <c r="I82" s="635">
        <v>-25</v>
      </c>
      <c r="J82" s="635">
        <v>-25</v>
      </c>
      <c r="K82" s="635">
        <v>-25</v>
      </c>
      <c r="L82" s="92"/>
      <c r="M82" s="92"/>
      <c r="N82" s="92"/>
    </row>
    <row r="83" spans="2:15" ht="6" customHeight="1">
      <c r="C83" s="70"/>
      <c r="D83" s="94"/>
      <c r="G83" s="107"/>
      <c r="H83" s="107"/>
      <c r="I83" s="107"/>
      <c r="J83" s="107"/>
      <c r="K83" s="108"/>
      <c r="L83" s="92"/>
      <c r="M83" s="92"/>
      <c r="N83" s="92"/>
    </row>
    <row r="84" spans="2:15">
      <c r="C84" s="70"/>
      <c r="D84" s="94" t="s">
        <v>173</v>
      </c>
      <c r="G84" s="635"/>
      <c r="H84" s="635"/>
      <c r="I84" s="635"/>
      <c r="J84" s="635"/>
      <c r="K84" s="636"/>
      <c r="L84" s="92"/>
      <c r="M84" s="92"/>
      <c r="N84" s="92"/>
    </row>
    <row r="85" spans="2:15">
      <c r="C85" s="70"/>
      <c r="D85" s="94" t="s">
        <v>183</v>
      </c>
      <c r="G85" s="633"/>
      <c r="H85" s="633"/>
      <c r="I85" s="633"/>
      <c r="J85" s="633"/>
      <c r="K85" s="634"/>
      <c r="L85" s="92"/>
      <c r="M85" s="92"/>
      <c r="N85" s="92"/>
    </row>
    <row r="86" spans="2:15" ht="6" customHeight="1">
      <c r="C86" s="70"/>
      <c r="D86" s="43"/>
      <c r="E86" s="41"/>
      <c r="F86" s="41"/>
      <c r="G86" s="41"/>
      <c r="H86" s="101"/>
      <c r="I86" s="102"/>
      <c r="J86" s="101"/>
      <c r="K86" s="103"/>
      <c r="L86" s="104"/>
      <c r="M86" s="104"/>
      <c r="N86" s="104"/>
      <c r="O86" s="104"/>
    </row>
    <row r="87" spans="2:15" ht="13.15" customHeight="1">
      <c r="B87" s="41"/>
      <c r="C87" s="41"/>
      <c r="D87" s="41"/>
      <c r="E87" s="41"/>
      <c r="F87" s="41"/>
      <c r="G87" s="41"/>
      <c r="H87" s="41"/>
      <c r="I87" s="41"/>
      <c r="J87" s="41"/>
      <c r="K87" s="41"/>
      <c r="L87" s="41"/>
      <c r="M87" s="41"/>
      <c r="N87" s="18"/>
      <c r="O87" s="18"/>
    </row>
    <row r="88" spans="2:15">
      <c r="N88" s="18"/>
      <c r="O88" s="18"/>
    </row>
    <row r="91" spans="2:15">
      <c r="D91" s="109"/>
    </row>
    <row r="92" spans="2:15">
      <c r="D92" s="109"/>
    </row>
    <row r="93" spans="2:15">
      <c r="D93" s="109"/>
    </row>
    <row r="94" spans="2:15">
      <c r="D94" s="109"/>
    </row>
  </sheetData>
  <phoneticPr fontId="0" type="noConversion"/>
  <conditionalFormatting sqref="J365:N369">
    <cfRule type="cellIs" dxfId="5" priority="1" stopIfTrue="1" operator="greaterThan">
      <formula>330</formula>
    </cfRule>
  </conditionalFormatting>
  <printOptions horizontalCentered="1"/>
  <pageMargins left="0.23622047244094499" right="0.23622047244094499" top="0.35433070866141703" bottom="0.511811023622047" header="0.511811023622047" footer="0.23622047244094499"/>
  <pageSetup scale="92" orientation="landscape" r:id="rId1"/>
  <headerFooter alignWithMargins="0">
    <oddFooter>&amp;L&amp;"Calibri,Bold"&amp;9The Marquee Group
&amp;"Calibri,Regular"C:\My Documents\Precision Model.xls&amp;C&amp;"Calibri,Regular"&amp;9Page &amp;P of &amp;N&amp;R&amp;"Calibri,Regular"&amp;9&amp;D  &amp;T</oddFooter>
  </headerFooter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3"/>
  <dimension ref="A1:M56"/>
  <sheetViews>
    <sheetView showGridLines="0" topLeftCell="A34" zoomScaleNormal="100" workbookViewId="0">
      <selection activeCell="D11" sqref="D11"/>
    </sheetView>
  </sheetViews>
  <sheetFormatPr defaultColWidth="10.7109375" defaultRowHeight="12.75"/>
  <cols>
    <col min="1" max="1" width="4.7109375" style="114" customWidth="1"/>
    <col min="2" max="2" width="1.7109375" style="114" customWidth="1"/>
    <col min="3" max="3" width="18.7109375" style="114" customWidth="1"/>
    <col min="4" max="4" width="11.7109375" style="139" customWidth="1"/>
    <col min="5" max="5" width="1.7109375" style="139" customWidth="1"/>
    <col min="6" max="6" width="4.7109375" style="114" customWidth="1"/>
    <col min="7" max="11" width="10.7109375" style="114" customWidth="1"/>
    <col min="12" max="12" width="13.7109375" style="114" customWidth="1"/>
    <col min="13" max="13" width="10.28515625" style="114" customWidth="1"/>
    <col min="14" max="17" width="13.7109375" style="114" customWidth="1"/>
    <col min="18" max="16384" width="10.7109375" style="114"/>
  </cols>
  <sheetData>
    <row r="1" spans="1:11" s="113" customFormat="1" ht="22.7" customHeight="1">
      <c r="A1" s="110"/>
      <c r="B1" s="111" t="str">
        <f>Assumptions!B1</f>
        <v>Your Company Name</v>
      </c>
      <c r="C1" s="112"/>
      <c r="D1" s="112"/>
      <c r="E1" s="112"/>
      <c r="F1" s="112"/>
      <c r="G1" s="112"/>
      <c r="H1" s="112"/>
      <c r="I1" s="112"/>
      <c r="J1" s="112"/>
      <c r="K1" s="112"/>
    </row>
    <row r="2" spans="1:11" ht="18.75">
      <c r="B2" s="115" t="s">
        <v>240</v>
      </c>
      <c r="C2" s="115"/>
      <c r="D2" s="115"/>
      <c r="E2" s="115"/>
      <c r="F2" s="115"/>
      <c r="G2" s="115"/>
      <c r="H2" s="115"/>
      <c r="I2" s="115"/>
      <c r="J2" s="115"/>
      <c r="K2" s="115"/>
    </row>
    <row r="3" spans="1:11" ht="6" customHeight="1" thickBot="1">
      <c r="B3" s="116"/>
      <c r="C3" s="116"/>
      <c r="D3" s="117"/>
      <c r="E3" s="117"/>
      <c r="F3" s="116"/>
      <c r="G3" s="116"/>
      <c r="H3" s="116"/>
      <c r="I3" s="116"/>
      <c r="J3" s="116"/>
      <c r="K3" s="116"/>
    </row>
    <row r="4" spans="1:11" ht="12.75" customHeight="1">
      <c r="C4" s="118"/>
      <c r="D4" s="119"/>
      <c r="E4" s="119"/>
      <c r="F4" s="118"/>
    </row>
    <row r="5" spans="1:11" ht="6" customHeight="1">
      <c r="B5" s="120"/>
      <c r="C5" s="121"/>
      <c r="D5" s="122"/>
      <c r="E5" s="123"/>
      <c r="F5" s="124"/>
      <c r="G5" s="125"/>
      <c r="H5" s="125"/>
      <c r="I5" s="125"/>
      <c r="J5" s="125"/>
      <c r="K5" s="125"/>
    </row>
    <row r="6" spans="1:11" ht="16.149999999999999" customHeight="1">
      <c r="B6" s="126" t="s">
        <v>126</v>
      </c>
      <c r="C6" s="127"/>
      <c r="D6" s="128">
        <v>1</v>
      </c>
      <c r="E6" s="129"/>
      <c r="F6" s="127"/>
      <c r="G6" s="130">
        <f>Assumptions!G6</f>
        <v>2020</v>
      </c>
      <c r="H6" s="130">
        <f>G6+1</f>
        <v>2021</v>
      </c>
      <c r="I6" s="130">
        <f>H6+1</f>
        <v>2022</v>
      </c>
      <c r="J6" s="130">
        <f>I6+1</f>
        <v>2023</v>
      </c>
      <c r="K6" s="130">
        <f>J6+1</f>
        <v>2024</v>
      </c>
    </row>
    <row r="7" spans="1:11" ht="6" customHeight="1">
      <c r="B7" s="132"/>
      <c r="C7" s="133"/>
      <c r="D7" s="134"/>
      <c r="E7" s="135"/>
      <c r="F7" s="127"/>
      <c r="G7" s="130"/>
      <c r="H7" s="130"/>
      <c r="I7" s="131"/>
      <c r="J7" s="131"/>
      <c r="K7" s="130"/>
    </row>
    <row r="8" spans="1:11" ht="13.15" customHeight="1">
      <c r="B8" s="127"/>
      <c r="C8" s="127"/>
      <c r="D8" s="136"/>
      <c r="E8" s="136"/>
      <c r="F8" s="127"/>
      <c r="G8" s="130"/>
      <c r="H8" s="130"/>
      <c r="I8" s="131"/>
      <c r="J8" s="131"/>
      <c r="K8" s="130"/>
    </row>
    <row r="9" spans="1:11" ht="15.75">
      <c r="A9" s="137"/>
      <c r="B9" s="138" t="s">
        <v>119</v>
      </c>
    </row>
    <row r="10" spans="1:11" ht="6" customHeight="1"/>
    <row r="11" spans="1:11" ht="16.149999999999999" customHeight="1">
      <c r="B11" s="140" t="s">
        <v>125</v>
      </c>
      <c r="D11" s="141"/>
      <c r="E11" s="141"/>
      <c r="F11" s="124"/>
      <c r="G11" s="671">
        <f>CHOOSE($D$6, G13, G14, G15)</f>
        <v>0.02</v>
      </c>
      <c r="H11" s="672">
        <f t="shared" ref="H11:K11" si="0">CHOOSE($D$6, H13, H14, H15)</f>
        <v>0.02</v>
      </c>
      <c r="I11" s="672">
        <f t="shared" si="0"/>
        <v>0.02</v>
      </c>
      <c r="J11" s="672">
        <f t="shared" si="0"/>
        <v>2.5000000000000001E-2</v>
      </c>
      <c r="K11" s="673">
        <f t="shared" si="0"/>
        <v>2.5000000000000001E-2</v>
      </c>
    </row>
    <row r="12" spans="1:11" ht="4.1500000000000004" customHeight="1">
      <c r="B12" s="142"/>
      <c r="D12" s="141"/>
      <c r="E12" s="141"/>
      <c r="F12" s="124"/>
      <c r="G12" s="674"/>
      <c r="H12" s="675"/>
      <c r="I12" s="675"/>
      <c r="J12" s="675"/>
      <c r="K12" s="675"/>
    </row>
    <row r="13" spans="1:11">
      <c r="B13" s="142"/>
      <c r="C13" s="114" t="str">
        <f>Assumptions!C14</f>
        <v>Base Case</v>
      </c>
      <c r="D13" s="141"/>
      <c r="E13" s="141"/>
      <c r="F13" s="124"/>
      <c r="G13" s="662">
        <v>0.02</v>
      </c>
      <c r="H13" s="663">
        <v>0.02</v>
      </c>
      <c r="I13" s="663">
        <v>0.02</v>
      </c>
      <c r="J13" s="663">
        <v>2.5000000000000001E-2</v>
      </c>
      <c r="K13" s="664">
        <v>2.5000000000000001E-2</v>
      </c>
    </row>
    <row r="14" spans="1:11">
      <c r="B14" s="142"/>
      <c r="C14" s="114" t="str">
        <f>Assumptions!C15</f>
        <v>Best Case</v>
      </c>
      <c r="D14" s="141"/>
      <c r="E14" s="141"/>
      <c r="F14" s="124"/>
      <c r="G14" s="665">
        <v>1.7999999999999999E-2</v>
      </c>
      <c r="H14" s="666">
        <v>1.7999999999999999E-2</v>
      </c>
      <c r="I14" s="666">
        <v>1.7999999999999999E-2</v>
      </c>
      <c r="J14" s="666">
        <v>0.02</v>
      </c>
      <c r="K14" s="667">
        <v>0.02</v>
      </c>
    </row>
    <row r="15" spans="1:11">
      <c r="B15" s="142"/>
      <c r="C15" s="114" t="str">
        <f>Assumptions!C16</f>
        <v>Worst Case</v>
      </c>
      <c r="D15" s="141"/>
      <c r="E15" s="141"/>
      <c r="F15" s="124"/>
      <c r="G15" s="668">
        <v>2.1000000000000001E-2</v>
      </c>
      <c r="H15" s="669">
        <v>2.1999999999999999E-2</v>
      </c>
      <c r="I15" s="669">
        <v>2.1999999999999999E-2</v>
      </c>
      <c r="J15" s="669">
        <v>2.5999999999999999E-2</v>
      </c>
      <c r="K15" s="670">
        <v>2.8000000000000001E-2</v>
      </c>
    </row>
    <row r="16" spans="1:11">
      <c r="B16" s="124"/>
      <c r="C16" s="154"/>
      <c r="D16" s="141"/>
      <c r="E16" s="141"/>
      <c r="F16" s="124"/>
      <c r="G16" s="675"/>
      <c r="H16" s="675"/>
      <c r="I16" s="675"/>
      <c r="J16" s="675"/>
      <c r="K16" s="675"/>
    </row>
    <row r="17" spans="1:13" ht="6" customHeight="1">
      <c r="G17" s="676"/>
      <c r="H17" s="676"/>
      <c r="I17" s="676"/>
      <c r="J17" s="676"/>
      <c r="K17" s="676"/>
    </row>
    <row r="18" spans="1:13" s="155" customFormat="1" ht="16.149999999999999" customHeight="1">
      <c r="B18" s="156" t="s">
        <v>94</v>
      </c>
      <c r="G18" s="671">
        <f>CHOOSE($D$6, G20, G21, G22)</f>
        <v>0.95</v>
      </c>
      <c r="H18" s="672">
        <f t="shared" ref="H18:K18" si="1">CHOOSE($D$6, H20, H21, H22)</f>
        <v>0.94</v>
      </c>
      <c r="I18" s="672">
        <f t="shared" si="1"/>
        <v>0.93</v>
      </c>
      <c r="J18" s="672">
        <f t="shared" si="1"/>
        <v>0.92</v>
      </c>
      <c r="K18" s="673">
        <f t="shared" si="1"/>
        <v>0.91</v>
      </c>
    </row>
    <row r="19" spans="1:13" s="124" customFormat="1" ht="4.1500000000000004" customHeight="1">
      <c r="B19" s="142"/>
      <c r="D19" s="141"/>
      <c r="E19" s="141"/>
      <c r="G19" s="157"/>
      <c r="H19" s="157"/>
      <c r="I19" s="157"/>
      <c r="J19" s="157"/>
      <c r="K19" s="157"/>
    </row>
    <row r="20" spans="1:13">
      <c r="C20" s="158" t="str">
        <f>Assumptions!C14</f>
        <v>Base Case</v>
      </c>
      <c r="D20" s="159"/>
      <c r="E20" s="159"/>
      <c r="G20" s="160">
        <v>0.95</v>
      </c>
      <c r="H20" s="161">
        <v>0.94</v>
      </c>
      <c r="I20" s="161">
        <v>0.93</v>
      </c>
      <c r="J20" s="161">
        <v>0.92</v>
      </c>
      <c r="K20" s="162">
        <v>0.91</v>
      </c>
    </row>
    <row r="21" spans="1:13">
      <c r="C21" s="158" t="str">
        <f>Assumptions!C15</f>
        <v>Best Case</v>
      </c>
      <c r="D21" s="159"/>
      <c r="E21" s="159"/>
      <c r="G21" s="163">
        <v>0.96</v>
      </c>
      <c r="H21" s="164">
        <v>0.95</v>
      </c>
      <c r="I21" s="164">
        <v>0.94</v>
      </c>
      <c r="J21" s="164">
        <v>0.93</v>
      </c>
      <c r="K21" s="165">
        <v>0.92</v>
      </c>
    </row>
    <row r="22" spans="1:13">
      <c r="C22" s="114" t="str">
        <f>Assumptions!C16</f>
        <v>Worst Case</v>
      </c>
      <c r="D22" s="159"/>
      <c r="E22" s="159"/>
      <c r="G22" s="166">
        <v>0.94</v>
      </c>
      <c r="H22" s="167">
        <v>0.93</v>
      </c>
      <c r="I22" s="167">
        <v>0.92</v>
      </c>
      <c r="J22" s="167">
        <v>0.91</v>
      </c>
      <c r="K22" s="511">
        <v>0.9</v>
      </c>
    </row>
    <row r="23" spans="1:13">
      <c r="C23" s="158"/>
      <c r="D23" s="159"/>
      <c r="E23" s="159"/>
      <c r="G23" s="168"/>
      <c r="H23" s="168"/>
      <c r="I23" s="168"/>
      <c r="J23" s="168"/>
      <c r="K23" s="169"/>
    </row>
    <row r="24" spans="1:13" ht="6" customHeight="1">
      <c r="B24" s="170"/>
      <c r="C24" s="170"/>
      <c r="D24" s="171"/>
      <c r="E24" s="171"/>
      <c r="F24" s="170"/>
      <c r="G24" s="170"/>
      <c r="H24" s="170"/>
      <c r="I24" s="170"/>
      <c r="J24" s="170"/>
      <c r="K24" s="170"/>
    </row>
    <row r="25" spans="1:13" ht="15.4" customHeight="1">
      <c r="B25" s="124"/>
      <c r="C25" s="124"/>
      <c r="D25" s="172"/>
      <c r="E25" s="172"/>
      <c r="F25" s="124"/>
      <c r="G25" s="124"/>
      <c r="H25" s="124"/>
      <c r="I25" s="124"/>
      <c r="J25" s="124"/>
      <c r="K25" s="124"/>
    </row>
    <row r="26" spans="1:13" ht="12.75" customHeight="1">
      <c r="B26" s="138" t="s">
        <v>157</v>
      </c>
      <c r="C26" s="124"/>
      <c r="D26" s="172"/>
      <c r="E26" s="172"/>
      <c r="F26" s="124"/>
      <c r="G26" s="124"/>
      <c r="H26" s="124"/>
      <c r="I26" s="124"/>
      <c r="J26" s="124"/>
      <c r="K26" s="124"/>
    </row>
    <row r="27" spans="1:13" ht="6" customHeight="1"/>
    <row r="28" spans="1:13" s="155" customFormat="1" ht="16.149999999999999" customHeight="1">
      <c r="B28" s="156" t="s">
        <v>248</v>
      </c>
      <c r="D28" s="128"/>
      <c r="E28" s="128"/>
      <c r="G28" s="687">
        <f>CHOOSE($D$6, G30, G31, G32)</f>
        <v>780</v>
      </c>
      <c r="H28" s="688">
        <f t="shared" ref="H28:K28" si="2">CHOOSE($D$6, H30, H31, H32)</f>
        <v>745</v>
      </c>
      <c r="I28" s="688">
        <f t="shared" si="2"/>
        <v>825</v>
      </c>
      <c r="J28" s="688">
        <f t="shared" si="2"/>
        <v>805</v>
      </c>
      <c r="K28" s="689">
        <f t="shared" si="2"/>
        <v>815</v>
      </c>
    </row>
    <row r="29" spans="1:13" ht="4.1500000000000004" customHeight="1">
      <c r="B29" s="173"/>
      <c r="D29" s="141"/>
      <c r="E29" s="141"/>
      <c r="F29" s="124"/>
      <c r="G29" s="174"/>
      <c r="H29" s="174"/>
      <c r="I29" s="174"/>
      <c r="J29" s="174"/>
      <c r="K29" s="174"/>
    </row>
    <row r="30" spans="1:13">
      <c r="C30" s="158" t="str">
        <f>Assumptions!C14</f>
        <v>Base Case</v>
      </c>
      <c r="D30" s="159"/>
      <c r="E30" s="159"/>
      <c r="G30" s="677">
        <v>780</v>
      </c>
      <c r="H30" s="678">
        <v>745</v>
      </c>
      <c r="I30" s="678">
        <v>825</v>
      </c>
      <c r="J30" s="678">
        <v>805</v>
      </c>
      <c r="K30" s="679">
        <v>815</v>
      </c>
      <c r="L30" s="175"/>
      <c r="M30" s="176"/>
    </row>
    <row r="31" spans="1:13">
      <c r="A31" s="177"/>
      <c r="C31" s="686" t="str">
        <f>CONCATENATE(Assumptions!C15,": + ", TEXT(Assumptions!E15,"0%"))</f>
        <v>Best Case: + 5%</v>
      </c>
      <c r="D31" s="159"/>
      <c r="E31" s="159"/>
      <c r="G31" s="680">
        <f>G30*(Assumptions!$E$15)+Scenarios!G30</f>
        <v>819</v>
      </c>
      <c r="H31" s="681">
        <f>H30*(Assumptions!$E$15)+Scenarios!H30</f>
        <v>782.25</v>
      </c>
      <c r="I31" s="681">
        <f>I30*(Assumptions!$E$15)+Scenarios!I30</f>
        <v>866.25</v>
      </c>
      <c r="J31" s="681">
        <f>J30*(Assumptions!$E$15)+Scenarios!J30</f>
        <v>845.25</v>
      </c>
      <c r="K31" s="682">
        <f>K30*(Assumptions!$E$15)+Scenarios!K30</f>
        <v>855.75</v>
      </c>
      <c r="L31" s="175"/>
      <c r="M31" s="176"/>
    </row>
    <row r="32" spans="1:13">
      <c r="A32" s="177"/>
      <c r="C32" s="686" t="str">
        <f>CONCATENATE(Assumptions!C16,": + ", TEXT(Assumptions!E16,"0%"))</f>
        <v>Worst Case: + -5%</v>
      </c>
      <c r="D32" s="159"/>
      <c r="E32" s="159"/>
      <c r="G32" s="683">
        <f>G30*(Assumptions!$E$16)+Scenarios!G30</f>
        <v>741</v>
      </c>
      <c r="H32" s="684">
        <f>H30*(Assumptions!$E$16)+Scenarios!H30</f>
        <v>707.75</v>
      </c>
      <c r="I32" s="684">
        <f>I30*(Assumptions!$E$16)+Scenarios!I30</f>
        <v>783.75</v>
      </c>
      <c r="J32" s="684">
        <f>J30*(Assumptions!$E$16)+Scenarios!J30</f>
        <v>764.75</v>
      </c>
      <c r="K32" s="685">
        <f>K30*(Assumptions!$E$16)+Scenarios!K30</f>
        <v>774.25</v>
      </c>
      <c r="L32" s="184"/>
      <c r="M32" s="176"/>
    </row>
    <row r="33" spans="1:13">
      <c r="A33" s="177"/>
      <c r="C33" s="158"/>
      <c r="D33" s="159"/>
      <c r="E33" s="159"/>
      <c r="G33" s="179"/>
      <c r="H33" s="179"/>
      <c r="I33" s="179"/>
      <c r="J33" s="179"/>
      <c r="K33" s="179"/>
      <c r="L33" s="184"/>
      <c r="M33" s="176"/>
    </row>
    <row r="34" spans="1:13" ht="6" customHeight="1">
      <c r="A34" s="177"/>
      <c r="C34" s="158"/>
      <c r="D34" s="159"/>
      <c r="E34" s="159"/>
      <c r="G34" s="179"/>
      <c r="H34" s="179"/>
      <c r="I34" s="179"/>
      <c r="J34" s="179"/>
      <c r="K34" s="179"/>
      <c r="L34" s="184"/>
      <c r="M34" s="176"/>
    </row>
    <row r="35" spans="1:13" s="155" customFormat="1" ht="16.149999999999999" customHeight="1">
      <c r="B35" s="156" t="s">
        <v>249</v>
      </c>
      <c r="D35" s="128"/>
      <c r="E35" s="128"/>
      <c r="G35" s="687">
        <f>CHOOSE($D$6, G37, G38, G39)</f>
        <v>770</v>
      </c>
      <c r="H35" s="688">
        <f t="shared" ref="H35:K35" si="3">CHOOSE($D$6, H37, H38, H39)</f>
        <v>740</v>
      </c>
      <c r="I35" s="688">
        <f t="shared" si="3"/>
        <v>825</v>
      </c>
      <c r="J35" s="688">
        <f t="shared" si="3"/>
        <v>815</v>
      </c>
      <c r="K35" s="689">
        <f t="shared" si="3"/>
        <v>825</v>
      </c>
    </row>
    <row r="36" spans="1:13" ht="4.1500000000000004" customHeight="1">
      <c r="B36" s="173"/>
      <c r="D36" s="141"/>
      <c r="E36" s="141"/>
      <c r="F36" s="124"/>
      <c r="G36" s="690"/>
      <c r="H36" s="690"/>
      <c r="I36" s="690"/>
      <c r="J36" s="690"/>
      <c r="K36" s="690"/>
    </row>
    <row r="37" spans="1:13">
      <c r="C37" s="158" t="str">
        <f>Assumptions!C14</f>
        <v>Base Case</v>
      </c>
      <c r="D37" s="159"/>
      <c r="E37" s="159"/>
      <c r="G37" s="691">
        <v>770</v>
      </c>
      <c r="H37" s="692">
        <v>740</v>
      </c>
      <c r="I37" s="692">
        <v>825</v>
      </c>
      <c r="J37" s="692">
        <v>815</v>
      </c>
      <c r="K37" s="693">
        <v>825</v>
      </c>
      <c r="L37" s="175"/>
      <c r="M37" s="176"/>
    </row>
    <row r="38" spans="1:13">
      <c r="A38" s="177"/>
      <c r="C38" s="158" t="str">
        <f>C31</f>
        <v>Best Case: + 5%</v>
      </c>
      <c r="D38" s="159"/>
      <c r="E38" s="159"/>
      <c r="G38" s="178">
        <f>G37*(1+Assumptions!$E$15)</f>
        <v>808.5</v>
      </c>
      <c r="H38" s="179">
        <f>H37*(1+Assumptions!$E$15)</f>
        <v>777</v>
      </c>
      <c r="I38" s="179">
        <f>I37*(1+Assumptions!$E$15)</f>
        <v>866.25</v>
      </c>
      <c r="J38" s="179">
        <f>J37*(1+Assumptions!$E$15)</f>
        <v>855.75</v>
      </c>
      <c r="K38" s="180">
        <f>K37*(1+Assumptions!$E$15)</f>
        <v>866.25</v>
      </c>
      <c r="L38" s="175"/>
      <c r="M38" s="176"/>
    </row>
    <row r="39" spans="1:13">
      <c r="A39" s="177"/>
      <c r="C39" s="158" t="str">
        <f>C32</f>
        <v>Worst Case: + -5%</v>
      </c>
      <c r="D39" s="159"/>
      <c r="E39" s="159"/>
      <c r="G39" s="181">
        <f>G37*(1+Assumptions!$E$16)</f>
        <v>731.5</v>
      </c>
      <c r="H39" s="182">
        <f>H37*(1+Assumptions!$E$16)</f>
        <v>703</v>
      </c>
      <c r="I39" s="182">
        <f>I37*(1+Assumptions!$E$16)</f>
        <v>783.75</v>
      </c>
      <c r="J39" s="182">
        <f>J37*(1+Assumptions!$E$16)</f>
        <v>774.25</v>
      </c>
      <c r="K39" s="183">
        <f>K37*(1+Assumptions!$E$16)</f>
        <v>783.75</v>
      </c>
      <c r="L39" s="184"/>
      <c r="M39" s="176"/>
    </row>
    <row r="40" spans="1:13">
      <c r="C40" s="185"/>
      <c r="D40" s="159"/>
      <c r="E40" s="159"/>
      <c r="G40" s="186"/>
      <c r="H40" s="186"/>
      <c r="I40" s="186"/>
      <c r="J40" s="186"/>
      <c r="K40" s="187"/>
      <c r="L40" s="175"/>
    </row>
    <row r="41" spans="1:13" ht="6" customHeight="1">
      <c r="C41" s="185"/>
      <c r="D41" s="159"/>
      <c r="E41" s="159"/>
      <c r="G41" s="186"/>
      <c r="H41" s="186"/>
      <c r="I41" s="186"/>
      <c r="J41" s="186"/>
      <c r="K41" s="187"/>
      <c r="L41" s="175"/>
    </row>
    <row r="42" spans="1:13" ht="16.149999999999999" customHeight="1">
      <c r="B42" s="140" t="s">
        <v>158</v>
      </c>
      <c r="D42" s="141"/>
      <c r="E42" s="141"/>
      <c r="F42" s="124"/>
      <c r="G42" s="671">
        <f>CHOOSE($D$6, G44, G45, G46)</f>
        <v>0.05</v>
      </c>
      <c r="H42" s="672">
        <f t="shared" ref="H42:K42" si="4">CHOOSE($D$6, H44, H45, H46)</f>
        <v>0.04</v>
      </c>
      <c r="I42" s="672">
        <f t="shared" si="4"/>
        <v>0.04</v>
      </c>
      <c r="J42" s="672">
        <f t="shared" si="4"/>
        <v>0.04</v>
      </c>
      <c r="K42" s="673">
        <f t="shared" si="4"/>
        <v>0.03</v>
      </c>
    </row>
    <row r="43" spans="1:13" ht="4.1500000000000004" customHeight="1">
      <c r="B43" s="142"/>
      <c r="D43" s="141"/>
      <c r="E43" s="141"/>
      <c r="F43" s="124"/>
      <c r="G43" s="143"/>
      <c r="H43" s="144"/>
      <c r="I43" s="144"/>
      <c r="J43" s="144"/>
      <c r="K43" s="144"/>
    </row>
    <row r="44" spans="1:13">
      <c r="B44" s="142"/>
      <c r="C44" s="114" t="str">
        <f>C20</f>
        <v>Base Case</v>
      </c>
      <c r="D44" s="141"/>
      <c r="E44" s="141"/>
      <c r="F44" s="124"/>
      <c r="G44" s="145">
        <v>0.05</v>
      </c>
      <c r="H44" s="146">
        <v>0.04</v>
      </c>
      <c r="I44" s="146">
        <v>0.04</v>
      </c>
      <c r="J44" s="146">
        <v>0.04</v>
      </c>
      <c r="K44" s="147">
        <v>0.03</v>
      </c>
    </row>
    <row r="45" spans="1:13">
      <c r="B45" s="142"/>
      <c r="C45" s="114" t="str">
        <f>C21</f>
        <v>Best Case</v>
      </c>
      <c r="D45" s="141"/>
      <c r="E45" s="141"/>
      <c r="F45" s="124"/>
      <c r="G45" s="148">
        <v>0.05</v>
      </c>
      <c r="H45" s="149">
        <v>0.04</v>
      </c>
      <c r="I45" s="149">
        <v>0.04</v>
      </c>
      <c r="J45" s="149">
        <v>0.05</v>
      </c>
      <c r="K45" s="150">
        <v>0.05</v>
      </c>
    </row>
    <row r="46" spans="1:13">
      <c r="B46" s="142"/>
      <c r="C46" s="114" t="str">
        <f>C22</f>
        <v>Worst Case</v>
      </c>
      <c r="D46" s="141"/>
      <c r="E46" s="141"/>
      <c r="F46" s="124"/>
      <c r="G46" s="151">
        <v>0.05</v>
      </c>
      <c r="H46" s="152">
        <v>0.04</v>
      </c>
      <c r="I46" s="152">
        <v>0.03</v>
      </c>
      <c r="J46" s="152">
        <v>0.03</v>
      </c>
      <c r="K46" s="153">
        <v>0.02</v>
      </c>
    </row>
    <row r="47" spans="1:13">
      <c r="C47" s="185"/>
      <c r="D47" s="159"/>
      <c r="E47" s="159"/>
      <c r="G47" s="186"/>
      <c r="H47" s="186"/>
      <c r="I47" s="186"/>
      <c r="J47" s="186"/>
      <c r="K47" s="187"/>
      <c r="L47" s="175"/>
    </row>
    <row r="48" spans="1:13" ht="6" customHeight="1">
      <c r="C48" s="185"/>
      <c r="D48" s="159"/>
      <c r="E48" s="159"/>
      <c r="G48" s="186"/>
      <c r="H48" s="186"/>
      <c r="I48" s="186"/>
      <c r="J48" s="186"/>
      <c r="K48" s="187"/>
      <c r="L48" s="175"/>
    </row>
    <row r="49" spans="2:11" ht="13.15" customHeight="1">
      <c r="B49" s="140" t="s">
        <v>239</v>
      </c>
      <c r="D49" s="141"/>
      <c r="E49" s="141"/>
      <c r="F49" s="124"/>
      <c r="G49" s="694">
        <v>0.4</v>
      </c>
      <c r="H49" s="695">
        <v>0.5</v>
      </c>
      <c r="I49" s="695">
        <v>0.55000000000000004</v>
      </c>
      <c r="J49" s="695">
        <v>0.6</v>
      </c>
      <c r="K49" s="696">
        <v>0.65</v>
      </c>
    </row>
    <row r="50" spans="2:11" ht="13.15" customHeight="1">
      <c r="B50" s="188"/>
      <c r="C50" s="188"/>
      <c r="D50" s="189"/>
      <c r="E50" s="189"/>
      <c r="F50" s="188"/>
      <c r="G50" s="188"/>
      <c r="H50" s="188"/>
      <c r="I50" s="188"/>
      <c r="J50" s="188"/>
      <c r="K50" s="188"/>
    </row>
    <row r="53" spans="2:11">
      <c r="C53" s="127"/>
      <c r="D53" s="141"/>
      <c r="E53" s="141"/>
      <c r="G53" s="190"/>
      <c r="H53" s="124"/>
      <c r="I53" s="124"/>
      <c r="J53" s="124"/>
    </row>
    <row r="54" spans="2:11">
      <c r="C54" s="124"/>
      <c r="D54" s="159"/>
      <c r="E54" s="159"/>
      <c r="H54" s="176"/>
    </row>
    <row r="55" spans="2:11">
      <c r="C55" s="124"/>
      <c r="D55" s="159"/>
      <c r="E55" s="159"/>
    </row>
    <row r="56" spans="2:11">
      <c r="G56" s="191"/>
      <c r="H56" s="124"/>
      <c r="I56" s="124"/>
      <c r="J56" s="124"/>
    </row>
  </sheetData>
  <phoneticPr fontId="0" type="noConversion"/>
  <conditionalFormatting sqref="J362:M366">
    <cfRule type="cellIs" dxfId="4" priority="1" stopIfTrue="1" operator="greaterThan">
      <formula>330</formula>
    </cfRule>
  </conditionalFormatting>
  <printOptions horizontalCentered="1"/>
  <pageMargins left="0.23622047244094491" right="0.23622047244094491" top="0.31496062992125984" bottom="0.51181102362204722" header="0.51181102362204722" footer="0.23622047244094491"/>
  <pageSetup scale="95" orientation="landscape" r:id="rId1"/>
  <headerFooter alignWithMargins="0">
    <oddFooter>&amp;L&amp;"Calibri,Bold"&amp;9The Marquee Group
&amp;"Calibri,Regular"C:\My Documents\Precision Model.xls&amp;C&amp;"Calibri,Regular"&amp;9Page &amp;P of &amp;N&amp;R&amp;"Calibri,Regular"&amp;9&amp;D &amp;T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41" r:id="rId4" name="Drop Down 1">
              <controlPr defaultSize="0" autoLine="0" autoPict="0">
                <anchor moveWithCells="1">
                  <from>
                    <xdr:col>2</xdr:col>
                    <xdr:colOff>1076325</xdr:colOff>
                    <xdr:row>4</xdr:row>
                    <xdr:rowOff>47625</xdr:rowOff>
                  </from>
                  <to>
                    <xdr:col>4</xdr:col>
                    <xdr:colOff>19050</xdr:colOff>
                    <xdr:row>6</xdr:row>
                    <xdr:rowOff>47625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IP448"/>
  <sheetViews>
    <sheetView showGridLines="0" tabSelected="1" zoomScaleNormal="100" zoomScaleSheetLayoutView="90" workbookViewId="0">
      <selection activeCell="B408" sqref="B408:O436"/>
    </sheetView>
  </sheetViews>
  <sheetFormatPr defaultColWidth="9.28515625" defaultRowHeight="12.75"/>
  <cols>
    <col min="1" max="1" width="7.7109375" style="22" customWidth="1"/>
    <col min="2" max="2" width="1.85546875" style="22" customWidth="1"/>
    <col min="3" max="3" width="2.28515625" style="22" customWidth="1"/>
    <col min="4" max="4" width="11.28515625" style="22" customWidth="1"/>
    <col min="5" max="5" width="12.7109375" style="22" customWidth="1"/>
    <col min="6" max="6" width="10.28515625" style="202" customWidth="1"/>
    <col min="7" max="7" width="1.85546875" style="22" customWidth="1"/>
    <col min="8" max="15" width="9.7109375" style="22" customWidth="1"/>
    <col min="16" max="16384" width="9.28515625" style="22"/>
  </cols>
  <sheetData>
    <row r="1" spans="1:15" ht="12.75" customHeight="1">
      <c r="A1" s="192"/>
      <c r="B1" s="20"/>
      <c r="C1" s="21"/>
      <c r="D1" s="21"/>
      <c r="E1" s="21"/>
      <c r="F1" s="193"/>
      <c r="G1" s="21"/>
      <c r="H1" s="21"/>
      <c r="I1" s="21"/>
      <c r="J1" s="21"/>
      <c r="K1" s="21"/>
      <c r="L1" s="21"/>
      <c r="M1" s="21"/>
      <c r="N1" s="21"/>
      <c r="O1" s="581" t="str">
        <f>CONCATENATE("currently running: ", CHOOSE(Scenarios!$D$6, Scenarios!C13,Scenarios!C14,Scenarios!C15), " scenario mofo")</f>
        <v>currently running: Base Case scenario mofo</v>
      </c>
    </row>
    <row r="2" spans="1:15" ht="23.25">
      <c r="A2" s="194"/>
      <c r="B2" s="19" t="str">
        <f>Cover!B12</f>
        <v>Your Company Name</v>
      </c>
      <c r="C2" s="21"/>
      <c r="D2" s="21"/>
      <c r="E2" s="21"/>
      <c r="F2" s="193"/>
      <c r="G2" s="21"/>
      <c r="H2" s="21"/>
      <c r="I2" s="21"/>
      <c r="J2" s="21"/>
      <c r="K2" s="21"/>
      <c r="L2" s="21"/>
      <c r="M2" s="21"/>
      <c r="N2" s="21"/>
      <c r="O2" s="21"/>
    </row>
    <row r="3" spans="1:15" ht="18.75">
      <c r="A3" s="195"/>
      <c r="B3" s="196" t="s">
        <v>127</v>
      </c>
      <c r="C3" s="197"/>
      <c r="D3" s="197"/>
      <c r="E3" s="197"/>
      <c r="F3" s="198"/>
      <c r="G3" s="197"/>
      <c r="H3" s="197"/>
      <c r="I3" s="197"/>
      <c r="J3" s="197"/>
      <c r="K3" s="197"/>
      <c r="L3" s="197"/>
      <c r="M3" s="197"/>
      <c r="N3" s="197"/>
      <c r="O3" s="197"/>
    </row>
    <row r="4" spans="1:15" ht="3.95" customHeight="1" thickBot="1">
      <c r="A4" s="195"/>
      <c r="B4" s="199"/>
      <c r="C4" s="200"/>
      <c r="D4" s="200"/>
      <c r="E4" s="200"/>
      <c r="F4" s="201"/>
      <c r="G4" s="200"/>
      <c r="H4" s="200"/>
      <c r="I4" s="200"/>
      <c r="J4" s="200"/>
      <c r="K4" s="200"/>
      <c r="L4" s="200"/>
      <c r="M4" s="200"/>
      <c r="N4" s="200"/>
      <c r="O4" s="200"/>
    </row>
    <row r="5" spans="1:15" ht="3" customHeight="1">
      <c r="A5" s="196"/>
      <c r="B5" s="197"/>
      <c r="C5" s="197"/>
      <c r="D5" s="197"/>
      <c r="E5" s="197"/>
      <c r="F5" s="198"/>
      <c r="G5" s="197"/>
      <c r="H5" s="197"/>
      <c r="I5" s="197"/>
      <c r="J5" s="197"/>
      <c r="K5" s="197"/>
      <c r="L5" s="197"/>
      <c r="M5" s="197"/>
      <c r="N5" s="197"/>
      <c r="O5" s="197"/>
    </row>
    <row r="6" spans="1:15" ht="15">
      <c r="B6" s="515"/>
      <c r="G6" s="203"/>
      <c r="K6" s="204" t="s">
        <v>5</v>
      </c>
      <c r="L6" s="62"/>
      <c r="M6" s="62"/>
      <c r="N6" s="62"/>
      <c r="O6" s="62"/>
    </row>
    <row r="7" spans="1:15">
      <c r="G7" s="65"/>
      <c r="H7" s="205">
        <f>I7-1</f>
        <v>2017</v>
      </c>
      <c r="I7" s="205">
        <f>J7-1</f>
        <v>2018</v>
      </c>
      <c r="J7" s="206">
        <f>K7-1</f>
        <v>2019</v>
      </c>
      <c r="K7" s="65">
        <f>Scenarios!G6</f>
        <v>2020</v>
      </c>
      <c r="L7" s="65">
        <f>Scenarios!H6</f>
        <v>2021</v>
      </c>
      <c r="M7" s="65">
        <f>Scenarios!I6</f>
        <v>2022</v>
      </c>
      <c r="N7" s="65">
        <f>Scenarios!J6</f>
        <v>2023</v>
      </c>
      <c r="O7" s="65">
        <f>Scenarios!K6</f>
        <v>2024</v>
      </c>
    </row>
    <row r="8" spans="1:15" ht="6" customHeight="1">
      <c r="H8" s="207"/>
      <c r="I8" s="207"/>
      <c r="J8" s="207"/>
    </row>
    <row r="9" spans="1:15">
      <c r="B9" s="208" t="s">
        <v>2</v>
      </c>
      <c r="C9" s="209"/>
      <c r="D9" s="209"/>
      <c r="E9" s="209"/>
      <c r="F9" s="210" t="s">
        <v>38</v>
      </c>
      <c r="G9" s="209"/>
      <c r="H9" s="211">
        <v>0.74</v>
      </c>
      <c r="I9" s="211">
        <v>0.85</v>
      </c>
      <c r="J9" s="211">
        <v>0.9</v>
      </c>
      <c r="K9" s="582">
        <f>Scenarios!G18</f>
        <v>0.95</v>
      </c>
      <c r="L9" s="582">
        <f>Scenarios!H18</f>
        <v>0.94</v>
      </c>
      <c r="M9" s="582">
        <f>Scenarios!I18</f>
        <v>0.93</v>
      </c>
      <c r="N9" s="582">
        <f>Scenarios!J18</f>
        <v>0.92</v>
      </c>
      <c r="O9" s="582">
        <f>Scenarios!K18</f>
        <v>0.91</v>
      </c>
    </row>
    <row r="10" spans="1:15">
      <c r="B10" s="212" t="s">
        <v>241</v>
      </c>
      <c r="C10" s="213"/>
      <c r="D10" s="213"/>
      <c r="E10" s="213"/>
      <c r="F10" s="214" t="s">
        <v>159</v>
      </c>
      <c r="G10" s="213"/>
      <c r="H10" s="215"/>
      <c r="I10" s="215"/>
      <c r="J10" s="215"/>
      <c r="K10" s="583">
        <f>Scenarios!G11</f>
        <v>0.02</v>
      </c>
      <c r="L10" s="583">
        <f>Scenarios!H11</f>
        <v>0.02</v>
      </c>
      <c r="M10" s="583">
        <f>Scenarios!I11</f>
        <v>0.02</v>
      </c>
      <c r="N10" s="583">
        <f>Scenarios!J11</f>
        <v>2.5000000000000001E-2</v>
      </c>
      <c r="O10" s="583">
        <f>Scenarios!K11</f>
        <v>2.5000000000000001E-2</v>
      </c>
    </row>
    <row r="11" spans="1:15" ht="7.15" customHeight="1">
      <c r="F11" s="216"/>
      <c r="H11" s="207"/>
      <c r="I11" s="207"/>
      <c r="J11" s="207"/>
    </row>
    <row r="12" spans="1:15">
      <c r="B12" s="217" t="s">
        <v>242</v>
      </c>
      <c r="F12" s="216"/>
      <c r="J12" s="218"/>
    </row>
    <row r="13" spans="1:15">
      <c r="B13" s="217"/>
      <c r="C13" s="219" t="s">
        <v>244</v>
      </c>
      <c r="E13" s="22" t="s">
        <v>283</v>
      </c>
      <c r="F13" s="220" t="s">
        <v>88</v>
      </c>
      <c r="H13" s="221">
        <v>820</v>
      </c>
      <c r="I13" s="221">
        <v>860</v>
      </c>
      <c r="J13" s="221">
        <v>800</v>
      </c>
      <c r="K13" s="584">
        <f>Scenarios!G28</f>
        <v>780</v>
      </c>
      <c r="L13" s="584">
        <f>Scenarios!H28</f>
        <v>745</v>
      </c>
      <c r="M13" s="584">
        <f>Scenarios!I28</f>
        <v>825</v>
      </c>
      <c r="N13" s="584">
        <f>Scenarios!J28</f>
        <v>805</v>
      </c>
      <c r="O13" s="584">
        <f>Scenarios!K28</f>
        <v>815</v>
      </c>
    </row>
    <row r="14" spans="1:15">
      <c r="B14" s="217"/>
      <c r="C14" s="85" t="s">
        <v>61</v>
      </c>
      <c r="F14" s="220" t="s">
        <v>88</v>
      </c>
      <c r="H14" s="222">
        <v>75</v>
      </c>
      <c r="I14" s="222">
        <v>81</v>
      </c>
      <c r="J14" s="222">
        <v>83</v>
      </c>
      <c r="K14" s="585">
        <f>J14*(1+K10)</f>
        <v>84.66</v>
      </c>
      <c r="L14" s="585">
        <f t="shared" ref="L14:O14" si="0">K14*(1+L10)</f>
        <v>86.353200000000001</v>
      </c>
      <c r="M14" s="585">
        <f t="shared" si="0"/>
        <v>88.080264</v>
      </c>
      <c r="N14" s="585">
        <f t="shared" si="0"/>
        <v>90.28227059999999</v>
      </c>
      <c r="O14" s="585">
        <f t="shared" si="0"/>
        <v>92.539327364999977</v>
      </c>
    </row>
    <row r="15" spans="1:15">
      <c r="B15" s="217"/>
      <c r="C15" s="84" t="s">
        <v>76</v>
      </c>
      <c r="F15" s="224" t="s">
        <v>88</v>
      </c>
      <c r="H15" s="555">
        <v>745</v>
      </c>
      <c r="I15" s="555">
        <v>779</v>
      </c>
      <c r="J15" s="555">
        <v>717</v>
      </c>
      <c r="K15" s="586">
        <f>K13-K14</f>
        <v>695.34</v>
      </c>
      <c r="L15" s="586">
        <f t="shared" ref="L15:O15" si="1">L13-L14</f>
        <v>658.64679999999998</v>
      </c>
      <c r="M15" s="586">
        <f t="shared" si="1"/>
        <v>736.91973600000006</v>
      </c>
      <c r="N15" s="586">
        <f t="shared" si="1"/>
        <v>714.71772940000005</v>
      </c>
      <c r="O15" s="586">
        <f t="shared" si="1"/>
        <v>722.46067263500004</v>
      </c>
    </row>
    <row r="16" spans="1:15" ht="5.0999999999999996" customHeight="1">
      <c r="B16" s="217"/>
      <c r="F16" s="216"/>
      <c r="H16" s="207"/>
      <c r="I16" s="207"/>
      <c r="J16" s="207"/>
    </row>
    <row r="17" spans="2:15">
      <c r="B17" s="217" t="s">
        <v>243</v>
      </c>
      <c r="F17" s="216"/>
      <c r="H17" s="207"/>
      <c r="I17" s="207"/>
      <c r="J17" s="207"/>
    </row>
    <row r="18" spans="2:15">
      <c r="C18" s="219" t="s">
        <v>244</v>
      </c>
      <c r="F18" s="220" t="s">
        <v>89</v>
      </c>
      <c r="H18" s="221">
        <v>795</v>
      </c>
      <c r="I18" s="221">
        <v>785</v>
      </c>
      <c r="J18" s="221">
        <v>730</v>
      </c>
      <c r="K18" s="584">
        <f>Scenarios!G35</f>
        <v>770</v>
      </c>
      <c r="L18" s="584">
        <f>Scenarios!H35</f>
        <v>740</v>
      </c>
      <c r="M18" s="584">
        <f>Scenarios!I35</f>
        <v>825</v>
      </c>
      <c r="N18" s="584">
        <f>Scenarios!J35</f>
        <v>815</v>
      </c>
      <c r="O18" s="584">
        <f>Scenarios!K35</f>
        <v>825</v>
      </c>
    </row>
    <row r="19" spans="2:15" ht="6" customHeight="1">
      <c r="C19" s="85"/>
      <c r="F19" s="220"/>
      <c r="H19" s="225"/>
      <c r="I19" s="225"/>
      <c r="J19" s="225"/>
      <c r="K19" s="226"/>
      <c r="L19" s="226"/>
      <c r="M19" s="226"/>
      <c r="N19" s="226"/>
      <c r="O19" s="226"/>
    </row>
    <row r="20" spans="2:15">
      <c r="C20" s="219" t="s">
        <v>244</v>
      </c>
      <c r="F20" s="220" t="s">
        <v>88</v>
      </c>
      <c r="H20" s="556">
        <v>588.29999999999995</v>
      </c>
      <c r="I20" s="556">
        <v>667.25</v>
      </c>
      <c r="J20" s="556">
        <v>657</v>
      </c>
      <c r="K20" s="587">
        <f>K18*K9</f>
        <v>731.5</v>
      </c>
      <c r="L20" s="587">
        <f t="shared" ref="L20:O20" si="2">L18*L9</f>
        <v>695.59999999999991</v>
      </c>
      <c r="M20" s="587">
        <f t="shared" si="2"/>
        <v>767.25</v>
      </c>
      <c r="N20" s="587">
        <f t="shared" si="2"/>
        <v>749.80000000000007</v>
      </c>
      <c r="O20" s="587">
        <f t="shared" si="2"/>
        <v>750.75</v>
      </c>
    </row>
    <row r="21" spans="2:15">
      <c r="C21" s="85" t="s">
        <v>61</v>
      </c>
      <c r="F21" s="220" t="s">
        <v>88</v>
      </c>
      <c r="H21" s="222">
        <v>95</v>
      </c>
      <c r="I21" s="222">
        <v>102</v>
      </c>
      <c r="J21" s="222">
        <v>103</v>
      </c>
      <c r="K21" s="585">
        <f>J21*(1+K10)</f>
        <v>105.06</v>
      </c>
      <c r="L21" s="585">
        <f t="shared" ref="L21:O21" si="3">K21*(1+L10)</f>
        <v>107.16120000000001</v>
      </c>
      <c r="M21" s="585">
        <f t="shared" si="3"/>
        <v>109.30442400000001</v>
      </c>
      <c r="N21" s="585">
        <f t="shared" si="3"/>
        <v>112.0370346</v>
      </c>
      <c r="O21" s="585">
        <f t="shared" si="3"/>
        <v>114.83796046499999</v>
      </c>
    </row>
    <row r="22" spans="2:15">
      <c r="C22" s="84" t="s">
        <v>76</v>
      </c>
      <c r="F22" s="224" t="s">
        <v>88</v>
      </c>
      <c r="H22" s="555">
        <v>493.29999999999995</v>
      </c>
      <c r="I22" s="555">
        <v>565.25</v>
      </c>
      <c r="J22" s="555">
        <v>554</v>
      </c>
      <c r="K22" s="586">
        <f>K20-K21</f>
        <v>626.44000000000005</v>
      </c>
      <c r="L22" s="586">
        <f t="shared" ref="L22:O22" si="4">L20-L21</f>
        <v>588.4387999999999</v>
      </c>
      <c r="M22" s="586">
        <f t="shared" si="4"/>
        <v>657.94557599999996</v>
      </c>
      <c r="N22" s="586">
        <f t="shared" si="4"/>
        <v>637.7629654000001</v>
      </c>
      <c r="O22" s="586">
        <f t="shared" si="4"/>
        <v>635.91203953499996</v>
      </c>
    </row>
    <row r="23" spans="2:15" ht="5.0999999999999996" customHeight="1">
      <c r="B23" s="213"/>
      <c r="C23" s="228"/>
      <c r="D23" s="213"/>
      <c r="E23" s="213"/>
      <c r="F23" s="229"/>
      <c r="G23" s="213"/>
      <c r="H23" s="230"/>
      <c r="I23" s="230"/>
      <c r="J23" s="230"/>
      <c r="K23" s="231"/>
      <c r="L23" s="231"/>
      <c r="M23" s="231"/>
      <c r="N23" s="231"/>
      <c r="O23" s="231"/>
    </row>
    <row r="24" spans="2:15" ht="5.0999999999999996" customHeight="1">
      <c r="C24" s="217"/>
      <c r="F24" s="224"/>
      <c r="H24" s="232"/>
      <c r="I24" s="232"/>
      <c r="J24" s="232"/>
      <c r="K24" s="233"/>
      <c r="L24" s="233"/>
      <c r="M24" s="233"/>
      <c r="N24" s="233"/>
      <c r="O24" s="233"/>
    </row>
    <row r="25" spans="2:15">
      <c r="B25" s="234" t="s">
        <v>12</v>
      </c>
      <c r="F25" s="220"/>
      <c r="H25" s="226"/>
      <c r="I25" s="226"/>
      <c r="J25" s="226"/>
      <c r="K25" s="235"/>
      <c r="L25" s="235"/>
      <c r="M25" s="235"/>
      <c r="N25" s="235"/>
      <c r="O25" s="226"/>
    </row>
    <row r="26" spans="2:15">
      <c r="C26" s="22" t="s">
        <v>49</v>
      </c>
      <c r="F26" s="216" t="s">
        <v>50</v>
      </c>
      <c r="H26" s="221">
        <v>350</v>
      </c>
      <c r="I26" s="221">
        <v>350</v>
      </c>
      <c r="J26" s="221">
        <v>350</v>
      </c>
      <c r="K26" s="584">
        <f>Assumptions!N13</f>
        <v>350</v>
      </c>
      <c r="L26" s="584">
        <f>K26</f>
        <v>350</v>
      </c>
      <c r="M26" s="584">
        <f t="shared" ref="M26:O26" si="5">L26</f>
        <v>350</v>
      </c>
      <c r="N26" s="584">
        <f t="shared" si="5"/>
        <v>350</v>
      </c>
      <c r="O26" s="584">
        <f t="shared" si="5"/>
        <v>350</v>
      </c>
    </row>
    <row r="27" spans="2:15">
      <c r="C27" s="22" t="s">
        <v>90</v>
      </c>
      <c r="E27" s="236"/>
      <c r="F27" s="216" t="s">
        <v>91</v>
      </c>
      <c r="H27" s="222">
        <v>1200</v>
      </c>
      <c r="I27" s="222">
        <v>1200</v>
      </c>
      <c r="J27" s="222">
        <v>1200</v>
      </c>
      <c r="K27" s="588">
        <f>Assumptions!N14</f>
        <v>1200</v>
      </c>
      <c r="L27" s="588">
        <f>K27</f>
        <v>1200</v>
      </c>
      <c r="M27" s="588">
        <f t="shared" ref="M27:O27" si="6">L27</f>
        <v>1200</v>
      </c>
      <c r="N27" s="588">
        <f t="shared" si="6"/>
        <v>1200</v>
      </c>
      <c r="O27" s="588">
        <f t="shared" si="6"/>
        <v>1200</v>
      </c>
    </row>
    <row r="28" spans="2:15">
      <c r="C28" s="234" t="s">
        <v>12</v>
      </c>
      <c r="F28" s="237" t="s">
        <v>92</v>
      </c>
      <c r="H28" s="557">
        <v>420</v>
      </c>
      <c r="I28" s="557">
        <v>420</v>
      </c>
      <c r="J28" s="557">
        <v>420</v>
      </c>
      <c r="K28" s="586">
        <f>K26*K27/1000</f>
        <v>420</v>
      </c>
      <c r="L28" s="586">
        <f t="shared" ref="L28" si="7">L26*L27/1000</f>
        <v>420</v>
      </c>
      <c r="M28" s="586">
        <f t="shared" ref="M28" si="8">M26*M27/1000</f>
        <v>420</v>
      </c>
      <c r="N28" s="586">
        <f t="shared" ref="N28" si="9">N26*N27/1000</f>
        <v>420</v>
      </c>
      <c r="O28" s="586">
        <f t="shared" ref="O28" si="10">O26*O27/1000</f>
        <v>420</v>
      </c>
    </row>
    <row r="29" spans="2:15" ht="5.0999999999999996" customHeight="1">
      <c r="F29" s="216"/>
    </row>
    <row r="30" spans="2:15">
      <c r="B30" s="84" t="s">
        <v>160</v>
      </c>
      <c r="F30" s="216"/>
    </row>
    <row r="31" spans="2:15">
      <c r="C31" s="22" t="s">
        <v>49</v>
      </c>
      <c r="F31" s="216" t="s">
        <v>50</v>
      </c>
      <c r="H31" s="221">
        <v>340</v>
      </c>
      <c r="I31" s="221">
        <v>335</v>
      </c>
      <c r="J31" s="221">
        <v>348</v>
      </c>
      <c r="K31" s="584">
        <f>Assumptions!$N$13</f>
        <v>350</v>
      </c>
      <c r="L31" s="584">
        <f>K31</f>
        <v>350</v>
      </c>
      <c r="M31" s="584">
        <f t="shared" ref="M31:O31" si="11">L31</f>
        <v>350</v>
      </c>
      <c r="N31" s="584">
        <f t="shared" si="11"/>
        <v>350</v>
      </c>
      <c r="O31" s="584">
        <f t="shared" si="11"/>
        <v>350</v>
      </c>
    </row>
    <row r="32" spans="2:15">
      <c r="C32" s="22" t="s">
        <v>158</v>
      </c>
      <c r="F32" s="238" t="s">
        <v>159</v>
      </c>
      <c r="H32" s="239">
        <v>0.02</v>
      </c>
      <c r="I32" s="640">
        <v>1.5625E-2</v>
      </c>
      <c r="J32" s="640">
        <v>1.538461538461533E-2</v>
      </c>
      <c r="K32" s="589">
        <f>Scenarios!G42</f>
        <v>0.05</v>
      </c>
      <c r="L32" s="589">
        <f>Scenarios!H42</f>
        <v>0.04</v>
      </c>
      <c r="M32" s="589">
        <f>Scenarios!I42</f>
        <v>0.04</v>
      </c>
      <c r="N32" s="589">
        <f>Scenarios!J42</f>
        <v>0.04</v>
      </c>
      <c r="O32" s="589">
        <f>Scenarios!K42</f>
        <v>0.03</v>
      </c>
    </row>
    <row r="33" spans="1:15">
      <c r="C33" s="22" t="s">
        <v>90</v>
      </c>
      <c r="F33" s="216" t="s">
        <v>91</v>
      </c>
      <c r="H33" s="222">
        <v>960</v>
      </c>
      <c r="I33" s="222">
        <v>975</v>
      </c>
      <c r="J33" s="222">
        <v>990</v>
      </c>
      <c r="K33" s="590">
        <f>MIN(J33*(1+K32), K27)</f>
        <v>1039.5</v>
      </c>
      <c r="L33" s="590">
        <f t="shared" ref="L33:O33" si="12">MIN(K33*(1+L32), L27)</f>
        <v>1081.08</v>
      </c>
      <c r="M33" s="590">
        <f t="shared" si="12"/>
        <v>1124.3232</v>
      </c>
      <c r="N33" s="590">
        <f t="shared" si="12"/>
        <v>1169.2961280000002</v>
      </c>
      <c r="O33" s="590">
        <f t="shared" si="12"/>
        <v>1200</v>
      </c>
    </row>
    <row r="34" spans="1:15">
      <c r="C34" s="234" t="s">
        <v>161</v>
      </c>
      <c r="F34" s="237" t="s">
        <v>92</v>
      </c>
      <c r="H34" s="555">
        <v>326.39999999999998</v>
      </c>
      <c r="I34" s="555">
        <v>326.625</v>
      </c>
      <c r="J34" s="555">
        <v>344.52</v>
      </c>
      <c r="K34" s="586">
        <f>K31*K33/1000</f>
        <v>363.82499999999999</v>
      </c>
      <c r="L34" s="586">
        <f t="shared" ref="L34:O34" si="13">L31*L33/1000</f>
        <v>378.37799999999999</v>
      </c>
      <c r="M34" s="586">
        <f t="shared" si="13"/>
        <v>393.51312000000001</v>
      </c>
      <c r="N34" s="586">
        <f t="shared" si="13"/>
        <v>409.25364480000007</v>
      </c>
      <c r="O34" s="586">
        <f t="shared" si="13"/>
        <v>420</v>
      </c>
    </row>
    <row r="35" spans="1:15" ht="5.0999999999999996" customHeight="1">
      <c r="C35" s="234"/>
      <c r="F35" s="237"/>
      <c r="H35" s="233"/>
      <c r="I35" s="233"/>
      <c r="J35" s="233"/>
      <c r="K35" s="233"/>
      <c r="L35" s="233"/>
      <c r="M35" s="233"/>
      <c r="N35" s="233"/>
      <c r="O35" s="233"/>
    </row>
    <row r="36" spans="1:15">
      <c r="B36" s="84" t="s">
        <v>238</v>
      </c>
      <c r="F36" s="237"/>
      <c r="H36" s="240"/>
      <c r="I36" s="240"/>
      <c r="J36" s="240"/>
      <c r="K36" s="240"/>
      <c r="L36" s="240"/>
      <c r="M36" s="240"/>
      <c r="N36" s="240"/>
      <c r="O36" s="240"/>
    </row>
    <row r="37" spans="1:15">
      <c r="C37" s="22" t="s">
        <v>245</v>
      </c>
      <c r="F37" s="238" t="s">
        <v>159</v>
      </c>
      <c r="H37" s="241">
        <v>0.35</v>
      </c>
      <c r="I37" s="241">
        <v>0.36</v>
      </c>
      <c r="J37" s="241">
        <v>0.38</v>
      </c>
      <c r="K37" s="591">
        <f>Scenarios!G49</f>
        <v>0.4</v>
      </c>
      <c r="L37" s="591">
        <f>Scenarios!H49</f>
        <v>0.5</v>
      </c>
      <c r="M37" s="591">
        <f>Scenarios!I49</f>
        <v>0.55000000000000004</v>
      </c>
      <c r="N37" s="591">
        <f>Scenarios!J49</f>
        <v>0.6</v>
      </c>
      <c r="O37" s="591">
        <f>Scenarios!K49</f>
        <v>0.65</v>
      </c>
    </row>
    <row r="38" spans="1:15">
      <c r="C38" s="22" t="s">
        <v>246</v>
      </c>
      <c r="F38" s="238" t="s">
        <v>159</v>
      </c>
      <c r="H38" s="558">
        <v>0.65</v>
      </c>
      <c r="I38" s="558">
        <v>0.64</v>
      </c>
      <c r="J38" s="558">
        <v>0.62</v>
      </c>
      <c r="K38" s="592">
        <f>1-K37</f>
        <v>0.6</v>
      </c>
      <c r="L38" s="592">
        <f t="shared" ref="L38:O38" si="14">1-L37</f>
        <v>0.5</v>
      </c>
      <c r="M38" s="592">
        <f t="shared" si="14"/>
        <v>0.44999999999999996</v>
      </c>
      <c r="N38" s="592">
        <f t="shared" si="14"/>
        <v>0.4</v>
      </c>
      <c r="O38" s="592">
        <f t="shared" si="14"/>
        <v>0.35</v>
      </c>
    </row>
    <row r="39" spans="1:15">
      <c r="C39" s="22" t="s">
        <v>247</v>
      </c>
      <c r="F39" s="238" t="s">
        <v>159</v>
      </c>
      <c r="H39" s="559">
        <v>1</v>
      </c>
      <c r="I39" s="559">
        <v>1</v>
      </c>
      <c r="J39" s="559">
        <v>1</v>
      </c>
      <c r="K39" s="593">
        <f>K38+K37</f>
        <v>1</v>
      </c>
      <c r="L39" s="593">
        <f t="shared" ref="L39:O39" si="15">L38+L37</f>
        <v>1</v>
      </c>
      <c r="M39" s="593">
        <f t="shared" si="15"/>
        <v>1</v>
      </c>
      <c r="N39" s="593">
        <f t="shared" si="15"/>
        <v>1</v>
      </c>
      <c r="O39" s="593">
        <f t="shared" si="15"/>
        <v>1</v>
      </c>
    </row>
    <row r="40" spans="1:15" ht="5.0999999999999996" customHeight="1">
      <c r="F40" s="237"/>
      <c r="H40" s="240"/>
      <c r="I40" s="240"/>
      <c r="J40" s="240"/>
      <c r="K40" s="240"/>
      <c r="L40" s="240"/>
      <c r="M40" s="240"/>
      <c r="N40" s="240"/>
      <c r="O40" s="240"/>
    </row>
    <row r="41" spans="1:15">
      <c r="C41" s="22" t="s">
        <v>245</v>
      </c>
      <c r="F41" s="216" t="s">
        <v>92</v>
      </c>
      <c r="H41" s="556">
        <v>114.23999999999998</v>
      </c>
      <c r="I41" s="556">
        <v>117.58499999999999</v>
      </c>
      <c r="J41" s="556">
        <v>130.91759999999999</v>
      </c>
      <c r="K41" s="587">
        <f>K34*K37</f>
        <v>145.53</v>
      </c>
      <c r="L41" s="587">
        <f t="shared" ref="L41:O41" si="16">L34*L37</f>
        <v>189.18899999999999</v>
      </c>
      <c r="M41" s="587">
        <f t="shared" si="16"/>
        <v>216.43221600000004</v>
      </c>
      <c r="N41" s="587">
        <f t="shared" si="16"/>
        <v>245.55218688000002</v>
      </c>
      <c r="O41" s="587">
        <f t="shared" si="16"/>
        <v>273</v>
      </c>
    </row>
    <row r="42" spans="1:15">
      <c r="C42" s="22" t="s">
        <v>246</v>
      </c>
      <c r="F42" s="216" t="s">
        <v>92</v>
      </c>
      <c r="H42" s="560">
        <v>212.16</v>
      </c>
      <c r="I42" s="560">
        <v>209.04</v>
      </c>
      <c r="J42" s="560">
        <v>213.60239999999999</v>
      </c>
      <c r="K42" s="585">
        <f>K34-K41</f>
        <v>218.29499999999999</v>
      </c>
      <c r="L42" s="585">
        <f t="shared" ref="L42:O42" si="17">L34-L41</f>
        <v>189.18899999999999</v>
      </c>
      <c r="M42" s="585">
        <f t="shared" si="17"/>
        <v>177.08090399999998</v>
      </c>
      <c r="N42" s="585">
        <f t="shared" si="17"/>
        <v>163.70145792000005</v>
      </c>
      <c r="O42" s="585">
        <f t="shared" si="17"/>
        <v>147</v>
      </c>
    </row>
    <row r="43" spans="1:15">
      <c r="C43" s="234" t="s">
        <v>247</v>
      </c>
      <c r="F43" s="237" t="s">
        <v>92</v>
      </c>
      <c r="H43" s="555">
        <v>326.39999999999998</v>
      </c>
      <c r="I43" s="555">
        <v>326.625</v>
      </c>
      <c r="J43" s="555">
        <v>344.52</v>
      </c>
      <c r="K43" s="586">
        <f>K42+K41</f>
        <v>363.82499999999999</v>
      </c>
      <c r="L43" s="586">
        <f t="shared" ref="L43:O43" si="18">L42+L41</f>
        <v>378.37799999999999</v>
      </c>
      <c r="M43" s="586">
        <f t="shared" si="18"/>
        <v>393.51312000000001</v>
      </c>
      <c r="N43" s="586">
        <f t="shared" si="18"/>
        <v>409.25364480000007</v>
      </c>
      <c r="O43" s="586">
        <f t="shared" si="18"/>
        <v>420</v>
      </c>
    </row>
    <row r="44" spans="1:15" ht="5.0999999999999996" customHeight="1">
      <c r="B44" s="213"/>
      <c r="C44" s="213"/>
      <c r="D44" s="213"/>
      <c r="E44" s="213"/>
      <c r="F44" s="214"/>
      <c r="G44" s="213"/>
      <c r="H44" s="213"/>
      <c r="I44" s="213"/>
      <c r="J44" s="213"/>
      <c r="K44" s="213"/>
      <c r="L44" s="213"/>
      <c r="M44" s="213"/>
      <c r="N44" s="213"/>
      <c r="O44" s="213"/>
    </row>
    <row r="45" spans="1:15" ht="5.0999999999999996" customHeight="1">
      <c r="F45" s="216"/>
    </row>
    <row r="46" spans="1:15">
      <c r="B46" s="234" t="s">
        <v>51</v>
      </c>
      <c r="F46" s="216"/>
    </row>
    <row r="47" spans="1:15">
      <c r="A47" s="242"/>
      <c r="C47" s="219" t="s">
        <v>250</v>
      </c>
      <c r="F47" s="216" t="s">
        <v>216</v>
      </c>
      <c r="H47" s="561">
        <v>93.676799999999986</v>
      </c>
      <c r="I47" s="561">
        <v>101.12309999999999</v>
      </c>
      <c r="J47" s="561">
        <v>104.73407999999999</v>
      </c>
      <c r="K47" s="594">
        <f>K41*K13/1000</f>
        <v>113.51339999999999</v>
      </c>
      <c r="L47" s="594">
        <f t="shared" ref="L47:O47" si="19">L41*L13/1000</f>
        <v>140.94580500000001</v>
      </c>
      <c r="M47" s="594">
        <f t="shared" si="19"/>
        <v>178.55657820000002</v>
      </c>
      <c r="N47" s="594">
        <f t="shared" si="19"/>
        <v>197.66951043840004</v>
      </c>
      <c r="O47" s="594">
        <f t="shared" si="19"/>
        <v>222.495</v>
      </c>
    </row>
    <row r="48" spans="1:15">
      <c r="A48" s="242"/>
      <c r="C48" s="219" t="s">
        <v>251</v>
      </c>
      <c r="F48" s="216" t="s">
        <v>216</v>
      </c>
      <c r="H48" s="561">
        <v>124.81372799999998</v>
      </c>
      <c r="I48" s="561">
        <v>139.48194000000001</v>
      </c>
      <c r="J48" s="561">
        <v>140.3367768</v>
      </c>
      <c r="K48" s="594">
        <f>K42*K20/1000</f>
        <v>159.68279249999998</v>
      </c>
      <c r="L48" s="594">
        <f t="shared" ref="L48:O48" si="20">L42*L20/1000</f>
        <v>131.59986839999999</v>
      </c>
      <c r="M48" s="594">
        <f t="shared" si="20"/>
        <v>135.86532359399999</v>
      </c>
      <c r="N48" s="594">
        <f t="shared" si="20"/>
        <v>122.74335314841605</v>
      </c>
      <c r="O48" s="594">
        <f t="shared" si="20"/>
        <v>110.36024999999999</v>
      </c>
    </row>
    <row r="49" spans="1:18">
      <c r="C49" s="85" t="s">
        <v>61</v>
      </c>
      <c r="F49" s="216" t="s">
        <v>216</v>
      </c>
      <c r="H49" s="561">
        <v>28.723199999999999</v>
      </c>
      <c r="I49" s="561">
        <v>30.846464999999995</v>
      </c>
      <c r="J49" s="561">
        <v>32.867207999999998</v>
      </c>
      <c r="K49" s="594">
        <f>((K14*K41)+(K21*K42))/1000</f>
        <v>35.254642500000003</v>
      </c>
      <c r="L49" s="594">
        <f t="shared" ref="L49:O49" si="21">((L14*L41)+(L21*L42))/1000</f>
        <v>36.6107958216</v>
      </c>
      <c r="M49" s="594">
        <f t="shared" si="21"/>
        <v>38.419132936504319</v>
      </c>
      <c r="N49" s="594">
        <f t="shared" si="21"/>
        <v>40.50963488737542</v>
      </c>
      <c r="O49" s="594">
        <f t="shared" si="21"/>
        <v>42.144416558999993</v>
      </c>
    </row>
    <row r="50" spans="1:18">
      <c r="C50" s="234" t="s">
        <v>6</v>
      </c>
      <c r="F50" s="237" t="s">
        <v>216</v>
      </c>
      <c r="H50" s="562">
        <v>189.76732799999999</v>
      </c>
      <c r="I50" s="562">
        <v>209.75857500000001</v>
      </c>
      <c r="J50" s="562">
        <v>212.2036488</v>
      </c>
      <c r="K50" s="595">
        <f>K47+K48-K49</f>
        <v>237.94154999999995</v>
      </c>
      <c r="L50" s="595">
        <f t="shared" ref="L50:O50" si="22">L47+L48-L49</f>
        <v>235.93487757840001</v>
      </c>
      <c r="M50" s="595">
        <f t="shared" si="22"/>
        <v>276.00276885749571</v>
      </c>
      <c r="N50" s="595">
        <f t="shared" si="22"/>
        <v>279.90322869944072</v>
      </c>
      <c r="O50" s="595">
        <f t="shared" si="22"/>
        <v>290.71083344100003</v>
      </c>
    </row>
    <row r="51" spans="1:18" ht="6" customHeight="1">
      <c r="B51" s="41"/>
      <c r="C51" s="41"/>
      <c r="D51" s="41"/>
      <c r="E51" s="41"/>
      <c r="F51" s="243"/>
      <c r="G51" s="41"/>
      <c r="H51" s="41"/>
      <c r="I51" s="41"/>
      <c r="J51" s="41"/>
      <c r="K51" s="41"/>
      <c r="L51" s="41"/>
      <c r="M51" s="41"/>
      <c r="N51" s="41"/>
      <c r="O51" s="41"/>
      <c r="R51" s="244"/>
    </row>
    <row r="52" spans="1:18" ht="12.75" customHeight="1">
      <c r="B52" s="18"/>
      <c r="C52" s="18"/>
      <c r="D52" s="18"/>
      <c r="E52" s="18"/>
      <c r="F52" s="245"/>
      <c r="G52" s="18"/>
      <c r="H52" s="18"/>
      <c r="I52" s="18"/>
      <c r="J52" s="18"/>
      <c r="K52" s="18"/>
      <c r="L52" s="18"/>
      <c r="M52" s="18"/>
      <c r="N52" s="18"/>
      <c r="O52" s="18"/>
      <c r="R52" s="244"/>
    </row>
    <row r="53" spans="1:18">
      <c r="K53" s="246"/>
    </row>
    <row r="54" spans="1:18" ht="12.75" customHeight="1">
      <c r="A54" s="194"/>
      <c r="B54" s="19"/>
      <c r="C54" s="21"/>
      <c r="D54" s="21"/>
      <c r="E54" s="21"/>
      <c r="F54" s="193"/>
      <c r="G54" s="21"/>
      <c r="H54" s="21"/>
      <c r="I54" s="21"/>
      <c r="J54" s="21"/>
      <c r="K54" s="21"/>
      <c r="L54" s="21"/>
      <c r="M54" s="21"/>
      <c r="N54" s="21"/>
      <c r="O54" s="247" t="str">
        <f>O1</f>
        <v>currently running: Base Case scenario mofo</v>
      </c>
    </row>
    <row r="55" spans="1:18" ht="23.25">
      <c r="A55" s="194"/>
      <c r="B55" s="19" t="str">
        <f>B$2</f>
        <v>Your Company Name</v>
      </c>
      <c r="C55" s="21"/>
      <c r="D55" s="21"/>
      <c r="E55" s="21"/>
      <c r="F55" s="193"/>
      <c r="G55" s="21"/>
      <c r="H55" s="21"/>
      <c r="I55" s="21"/>
      <c r="J55" s="21"/>
      <c r="K55" s="21"/>
      <c r="L55" s="21"/>
      <c r="M55" s="21"/>
      <c r="N55" s="21"/>
      <c r="O55" s="21"/>
    </row>
    <row r="56" spans="1:18" ht="18.75">
      <c r="A56" s="195"/>
      <c r="B56" s="196" t="s">
        <v>57</v>
      </c>
      <c r="C56" s="197"/>
      <c r="D56" s="197"/>
      <c r="E56" s="197"/>
      <c r="F56" s="198"/>
      <c r="G56" s="197"/>
      <c r="H56" s="197"/>
      <c r="I56" s="197"/>
      <c r="J56" s="197"/>
      <c r="K56" s="197"/>
      <c r="L56" s="197"/>
      <c r="M56" s="197"/>
      <c r="N56" s="197"/>
      <c r="O56" s="197"/>
    </row>
    <row r="57" spans="1:18" ht="6" customHeight="1" thickBot="1">
      <c r="A57" s="195"/>
      <c r="B57" s="199"/>
      <c r="C57" s="200"/>
      <c r="D57" s="200"/>
      <c r="E57" s="200"/>
      <c r="F57" s="201"/>
      <c r="G57" s="200"/>
      <c r="H57" s="200"/>
      <c r="I57" s="200"/>
      <c r="J57" s="200"/>
      <c r="K57" s="200"/>
      <c r="L57" s="200"/>
      <c r="M57" s="200"/>
      <c r="N57" s="200"/>
      <c r="O57" s="200"/>
    </row>
    <row r="58" spans="1:18" ht="6" customHeight="1">
      <c r="A58" s="196"/>
      <c r="B58" s="197"/>
      <c r="C58" s="197"/>
      <c r="D58" s="197"/>
      <c r="E58" s="197"/>
      <c r="F58" s="198"/>
      <c r="G58" s="197"/>
      <c r="H58" s="197"/>
      <c r="I58" s="197"/>
      <c r="J58" s="197"/>
      <c r="K58" s="197"/>
      <c r="L58" s="197"/>
      <c r="M58" s="197"/>
      <c r="N58" s="197"/>
      <c r="O58" s="197"/>
    </row>
    <row r="59" spans="1:18">
      <c r="G59" s="203"/>
      <c r="K59" s="204" t="s">
        <v>5</v>
      </c>
      <c r="L59" s="62"/>
      <c r="M59" s="62"/>
      <c r="N59" s="62"/>
      <c r="O59" s="62"/>
    </row>
    <row r="60" spans="1:18">
      <c r="G60" s="65"/>
      <c r="H60" s="248">
        <f>H7</f>
        <v>2017</v>
      </c>
      <c r="I60" s="248">
        <f>I7</f>
        <v>2018</v>
      </c>
      <c r="J60" s="249">
        <f>J7</f>
        <v>2019</v>
      </c>
      <c r="K60" s="250">
        <f>K$7</f>
        <v>2020</v>
      </c>
      <c r="L60" s="250">
        <f>L$7</f>
        <v>2021</v>
      </c>
      <c r="M60" s="250">
        <f>M$7</f>
        <v>2022</v>
      </c>
      <c r="N60" s="250">
        <f>N$7</f>
        <v>2023</v>
      </c>
      <c r="O60" s="250">
        <f>O$7</f>
        <v>2024</v>
      </c>
    </row>
    <row r="61" spans="1:18" ht="12.95" customHeight="1">
      <c r="G61" s="65"/>
      <c r="H61" s="65"/>
      <c r="I61" s="65"/>
      <c r="J61" s="65"/>
      <c r="K61" s="65"/>
      <c r="L61" s="65"/>
      <c r="M61" s="65"/>
      <c r="N61" s="65"/>
      <c r="O61" s="65"/>
    </row>
    <row r="62" spans="1:18" ht="12.95" customHeight="1">
      <c r="B62" s="208" t="s">
        <v>161</v>
      </c>
      <c r="C62" s="209"/>
      <c r="D62" s="209"/>
      <c r="E62" s="209"/>
      <c r="F62" s="251" t="s">
        <v>92</v>
      </c>
      <c r="G62" s="252"/>
      <c r="H62" s="253">
        <f t="shared" ref="H62:O62" si="23">H34</f>
        <v>326.39999999999998</v>
      </c>
      <c r="I62" s="253">
        <f t="shared" si="23"/>
        <v>326.625</v>
      </c>
      <c r="J62" s="253">
        <f t="shared" si="23"/>
        <v>344.52</v>
      </c>
      <c r="K62" s="253">
        <f t="shared" si="23"/>
        <v>363.82499999999999</v>
      </c>
      <c r="L62" s="253">
        <f t="shared" si="23"/>
        <v>378.37799999999999</v>
      </c>
      <c r="M62" s="253">
        <f t="shared" si="23"/>
        <v>393.51312000000001</v>
      </c>
      <c r="N62" s="253">
        <f t="shared" si="23"/>
        <v>409.25364480000007</v>
      </c>
      <c r="O62" s="254">
        <f t="shared" si="23"/>
        <v>420</v>
      </c>
    </row>
    <row r="63" spans="1:18">
      <c r="B63" s="212" t="s">
        <v>125</v>
      </c>
      <c r="C63" s="213"/>
      <c r="D63" s="213"/>
      <c r="E63" s="213"/>
      <c r="F63" s="214" t="s">
        <v>159</v>
      </c>
      <c r="G63" s="255"/>
      <c r="H63" s="256"/>
      <c r="I63" s="256"/>
      <c r="J63" s="256"/>
      <c r="K63" s="256"/>
      <c r="L63" s="257">
        <f>L10</f>
        <v>0.02</v>
      </c>
      <c r="M63" s="257">
        <f>M10</f>
        <v>0.02</v>
      </c>
      <c r="N63" s="257">
        <f>N10</f>
        <v>2.5000000000000001E-2</v>
      </c>
      <c r="O63" s="258">
        <f>O10</f>
        <v>2.5000000000000001E-2</v>
      </c>
    </row>
    <row r="64" spans="1:18" ht="12.95" customHeight="1">
      <c r="B64" s="259"/>
      <c r="G64" s="65"/>
      <c r="H64" s="65"/>
      <c r="I64" s="65"/>
      <c r="J64" s="65"/>
      <c r="K64" s="65"/>
      <c r="L64" s="65"/>
      <c r="M64" s="65"/>
      <c r="N64" s="65"/>
      <c r="O64" s="65"/>
    </row>
    <row r="65" spans="1:16" ht="12.75" customHeight="1">
      <c r="B65" s="260" t="s">
        <v>93</v>
      </c>
      <c r="G65" s="65"/>
      <c r="H65" s="65"/>
      <c r="I65" s="65"/>
      <c r="J65" s="65"/>
      <c r="K65" s="65"/>
      <c r="M65" s="65"/>
      <c r="N65" s="65"/>
      <c r="O65" s="65"/>
    </row>
    <row r="66" spans="1:16">
      <c r="A66" s="242"/>
      <c r="C66" s="234" t="s">
        <v>39</v>
      </c>
    </row>
    <row r="67" spans="1:16">
      <c r="D67" s="85" t="s">
        <v>74</v>
      </c>
      <c r="F67" s="202" t="s">
        <v>217</v>
      </c>
      <c r="H67" s="261">
        <v>218.1</v>
      </c>
      <c r="I67" s="261">
        <v>226</v>
      </c>
      <c r="J67" s="261">
        <v>219</v>
      </c>
      <c r="K67" s="596">
        <f>Assumptions!K25</f>
        <v>226</v>
      </c>
      <c r="L67" s="597">
        <f>K67*(1+L$63)</f>
        <v>230.52</v>
      </c>
      <c r="M67" s="597">
        <f t="shared" ref="M67:O67" si="24">L67*(1+M$63)</f>
        <v>235.13040000000001</v>
      </c>
      <c r="N67" s="597">
        <f t="shared" si="24"/>
        <v>241.00865999999999</v>
      </c>
      <c r="O67" s="597">
        <f t="shared" si="24"/>
        <v>247.03387649999996</v>
      </c>
    </row>
    <row r="68" spans="1:16">
      <c r="D68" s="85" t="s">
        <v>37</v>
      </c>
      <c r="F68" s="202" t="str">
        <f>F67</f>
        <v>($/unit)</v>
      </c>
      <c r="H68" s="264">
        <v>63</v>
      </c>
      <c r="I68" s="264">
        <v>64</v>
      </c>
      <c r="J68" s="264">
        <v>65</v>
      </c>
      <c r="K68" s="598">
        <f>Assumptions!K26</f>
        <v>66.099999999999994</v>
      </c>
      <c r="L68" s="599">
        <f>K68*(1+L$63)</f>
        <v>67.421999999999997</v>
      </c>
      <c r="M68" s="599">
        <f t="shared" ref="M68:O68" si="25">L68*(1+M$63)</f>
        <v>68.770439999999994</v>
      </c>
      <c r="N68" s="599">
        <f t="shared" si="25"/>
        <v>70.489700999999982</v>
      </c>
      <c r="O68" s="599">
        <f t="shared" si="25"/>
        <v>72.251943524999973</v>
      </c>
    </row>
    <row r="69" spans="1:16">
      <c r="D69" s="234" t="s">
        <v>40</v>
      </c>
      <c r="F69" s="265" t="str">
        <f>F68</f>
        <v>($/unit)</v>
      </c>
      <c r="H69" s="563">
        <v>281.10000000000002</v>
      </c>
      <c r="I69" s="563">
        <v>290</v>
      </c>
      <c r="J69" s="563">
        <v>284</v>
      </c>
      <c r="K69" s="600">
        <f>K67+K68</f>
        <v>292.10000000000002</v>
      </c>
      <c r="L69" s="600">
        <f t="shared" ref="L69:O69" si="26">L67+L68</f>
        <v>297.94200000000001</v>
      </c>
      <c r="M69" s="600">
        <f t="shared" si="26"/>
        <v>303.90084000000002</v>
      </c>
      <c r="N69" s="600">
        <f t="shared" si="26"/>
        <v>311.49836099999999</v>
      </c>
      <c r="O69" s="600">
        <f t="shared" si="26"/>
        <v>319.28582002499991</v>
      </c>
    </row>
    <row r="70" spans="1:16" ht="6" customHeight="1">
      <c r="D70" s="85"/>
      <c r="H70" s="267"/>
      <c r="I70" s="267"/>
      <c r="J70" s="267"/>
      <c r="K70" s="267"/>
      <c r="L70" s="267"/>
      <c r="M70" s="267"/>
      <c r="N70" s="267"/>
      <c r="O70" s="267"/>
    </row>
    <row r="71" spans="1:16" ht="12.75" customHeight="1">
      <c r="C71" s="84" t="s">
        <v>41</v>
      </c>
      <c r="D71" s="85"/>
      <c r="H71" s="268"/>
      <c r="I71" s="268"/>
      <c r="J71" s="268"/>
      <c r="K71" s="268"/>
      <c r="L71" s="269"/>
      <c r="M71" s="269"/>
      <c r="N71" s="269"/>
      <c r="O71" s="269"/>
    </row>
    <row r="72" spans="1:16" ht="12.75" customHeight="1">
      <c r="D72" s="85" t="s">
        <v>62</v>
      </c>
      <c r="F72" s="202" t="str">
        <f>F69</f>
        <v>($/unit)</v>
      </c>
      <c r="H72" s="564">
        <v>30.637254901960787</v>
      </c>
      <c r="I72" s="564">
        <v>30.616150019135095</v>
      </c>
      <c r="J72" s="564">
        <v>29.025891094856615</v>
      </c>
      <c r="K72" s="597">
        <f>K90*1000/K$62</f>
        <v>30.784030784030787</v>
      </c>
      <c r="L72" s="597">
        <f>L90*1000/L$62</f>
        <v>30.192030192030192</v>
      </c>
      <c r="M72" s="597">
        <f t="shared" ref="M72:O72" si="27">M90*1000/M$62</f>
        <v>29.611414226798839</v>
      </c>
      <c r="N72" s="597">
        <f>N90*1000/N$62</f>
        <v>29.184326521604618</v>
      </c>
      <c r="O72" s="597">
        <f t="shared" si="27"/>
        <v>29.148539999999993</v>
      </c>
    </row>
    <row r="73" spans="1:16">
      <c r="D73" s="85" t="s">
        <v>63</v>
      </c>
      <c r="F73" s="202" t="str">
        <f t="shared" ref="F73:F78" si="28">F72</f>
        <v>($/unit)</v>
      </c>
      <c r="H73" s="564">
        <v>36.764705882352942</v>
      </c>
      <c r="I73" s="564">
        <v>36.739380022962109</v>
      </c>
      <c r="J73" s="564">
        <v>37.733658423313599</v>
      </c>
      <c r="K73" s="597">
        <f t="shared" ref="K73:O77" si="29">K91*1000/K$62</f>
        <v>33.532604961176389</v>
      </c>
      <c r="L73" s="597">
        <f t="shared" si="29"/>
        <v>32.887747173461456</v>
      </c>
      <c r="M73" s="597">
        <f t="shared" si="29"/>
        <v>32.255290497048733</v>
      </c>
      <c r="N73" s="597">
        <f t="shared" si="29"/>
        <v>31.790069961033602</v>
      </c>
      <c r="O73" s="597">
        <f t="shared" si="29"/>
        <v>31.751088214285708</v>
      </c>
    </row>
    <row r="74" spans="1:16">
      <c r="D74" s="219" t="s">
        <v>252</v>
      </c>
      <c r="F74" s="202" t="str">
        <f t="shared" si="28"/>
        <v>($/unit)</v>
      </c>
      <c r="H74" s="564">
        <v>76.593137254901961</v>
      </c>
      <c r="I74" s="564">
        <v>76.540375047837728</v>
      </c>
      <c r="J74" s="564">
        <v>72.564727737141538</v>
      </c>
      <c r="K74" s="597">
        <f t="shared" si="29"/>
        <v>71.462928605785748</v>
      </c>
      <c r="L74" s="597">
        <f t="shared" si="29"/>
        <v>70.088641517212949</v>
      </c>
      <c r="M74" s="597">
        <f t="shared" si="29"/>
        <v>68.740783026497311</v>
      </c>
      <c r="N74" s="597">
        <f t="shared" si="29"/>
        <v>67.74932942515359</v>
      </c>
      <c r="O74" s="597">
        <f t="shared" si="29"/>
        <v>67.666253571428555</v>
      </c>
    </row>
    <row r="75" spans="1:16">
      <c r="D75" s="85" t="s">
        <v>64</v>
      </c>
      <c r="F75" s="202" t="str">
        <f t="shared" si="28"/>
        <v>($/unit)</v>
      </c>
      <c r="H75" s="564">
        <v>30.637254901960787</v>
      </c>
      <c r="I75" s="564">
        <v>30.616150019135095</v>
      </c>
      <c r="J75" s="564">
        <v>29.025891094856615</v>
      </c>
      <c r="K75" s="597">
        <f t="shared" si="29"/>
        <v>28.03545660688518</v>
      </c>
      <c r="L75" s="597">
        <f t="shared" si="29"/>
        <v>27.496313210598927</v>
      </c>
      <c r="M75" s="597">
        <f t="shared" si="29"/>
        <v>26.967537956548945</v>
      </c>
      <c r="N75" s="597">
        <f t="shared" si="29"/>
        <v>26.578583082175637</v>
      </c>
      <c r="O75" s="597">
        <f t="shared" si="29"/>
        <v>26.545991785714282</v>
      </c>
    </row>
    <row r="76" spans="1:16">
      <c r="D76" s="22" t="s">
        <v>189</v>
      </c>
      <c r="F76" s="202" t="str">
        <f t="shared" si="28"/>
        <v>($/unit)</v>
      </c>
      <c r="H76" s="564">
        <v>18.382352941176471</v>
      </c>
      <c r="I76" s="564">
        <v>18.369690011481055</v>
      </c>
      <c r="J76" s="564">
        <v>17.41553465691397</v>
      </c>
      <c r="K76" s="597">
        <f t="shared" si="29"/>
        <v>19.514876657733801</v>
      </c>
      <c r="L76" s="597">
        <f t="shared" si="29"/>
        <v>19.139590568161996</v>
      </c>
      <c r="M76" s="597">
        <f t="shared" si="29"/>
        <v>18.771521518774264</v>
      </c>
      <c r="N76" s="597">
        <f t="shared" si="29"/>
        <v>18.500778419945785</v>
      </c>
      <c r="O76" s="597">
        <f t="shared" si="29"/>
        <v>18.478092321428569</v>
      </c>
    </row>
    <row r="77" spans="1:16" ht="12.75" customHeight="1">
      <c r="D77" s="22" t="s">
        <v>14</v>
      </c>
      <c r="F77" s="202" t="str">
        <f t="shared" si="28"/>
        <v>($/unit)</v>
      </c>
      <c r="H77" s="565">
        <v>6.1274509803921573</v>
      </c>
      <c r="I77" s="565">
        <v>6.1232300038270191</v>
      </c>
      <c r="J77" s="565">
        <v>8.7077673284569848</v>
      </c>
      <c r="K77" s="599">
        <f t="shared" si="29"/>
        <v>5.4971483542912116</v>
      </c>
      <c r="L77" s="599">
        <f t="shared" si="29"/>
        <v>5.3914339628625347</v>
      </c>
      <c r="M77" s="599">
        <f t="shared" si="29"/>
        <v>5.2877525404997936</v>
      </c>
      <c r="N77" s="599">
        <f t="shared" si="29"/>
        <v>5.2114868788579676</v>
      </c>
      <c r="O77" s="599">
        <f t="shared" si="29"/>
        <v>5.2050964285714274</v>
      </c>
    </row>
    <row r="78" spans="1:16">
      <c r="D78" s="217" t="s">
        <v>60</v>
      </c>
      <c r="F78" s="265" t="str">
        <f t="shared" si="28"/>
        <v>($/unit)</v>
      </c>
      <c r="H78" s="563">
        <v>199.14215686274508</v>
      </c>
      <c r="I78" s="563">
        <v>199.00497512437809</v>
      </c>
      <c r="J78" s="563">
        <v>194.4734703355393</v>
      </c>
      <c r="K78" s="600">
        <f>SUM(K72:K77)</f>
        <v>188.82704596990311</v>
      </c>
      <c r="L78" s="600">
        <f t="shared" ref="L78:O78" si="30">SUM(L72:L77)</f>
        <v>185.19575662432806</v>
      </c>
      <c r="M78" s="600">
        <f t="shared" si="30"/>
        <v>181.63429976616786</v>
      </c>
      <c r="N78" s="600">
        <f t="shared" si="30"/>
        <v>179.0145742887712</v>
      </c>
      <c r="O78" s="600">
        <f t="shared" si="30"/>
        <v>178.79506232142853</v>
      </c>
      <c r="P78" s="263"/>
    </row>
    <row r="79" spans="1:16" ht="6" customHeight="1">
      <c r="C79" s="234"/>
      <c r="F79" s="265"/>
      <c r="H79" s="270"/>
      <c r="I79" s="270"/>
      <c r="J79" s="270"/>
      <c r="K79" s="270"/>
      <c r="L79" s="270"/>
      <c r="M79" s="270"/>
      <c r="N79" s="270"/>
      <c r="O79" s="270"/>
      <c r="P79" s="263"/>
    </row>
    <row r="80" spans="1:16" ht="13.5" thickBot="1">
      <c r="C80" s="217" t="s">
        <v>52</v>
      </c>
      <c r="F80" s="265" t="str">
        <f>F78</f>
        <v>($/unit)</v>
      </c>
      <c r="H80" s="566">
        <v>480.24215686274511</v>
      </c>
      <c r="I80" s="566">
        <v>489.00497512437812</v>
      </c>
      <c r="J80" s="566">
        <v>478.47347033553933</v>
      </c>
      <c r="K80" s="601">
        <f>K78+K69</f>
        <v>480.92704596990313</v>
      </c>
      <c r="L80" s="601">
        <f t="shared" ref="L80:O80" si="31">L78+L69</f>
        <v>483.13775662432806</v>
      </c>
      <c r="M80" s="601">
        <f t="shared" si="31"/>
        <v>485.53513976616784</v>
      </c>
      <c r="N80" s="601">
        <f t="shared" si="31"/>
        <v>490.51293528877119</v>
      </c>
      <c r="O80" s="601">
        <f t="shared" si="31"/>
        <v>498.08088234642844</v>
      </c>
    </row>
    <row r="81" spans="1:15" ht="12.95" customHeight="1" thickTop="1">
      <c r="B81" s="228"/>
      <c r="C81" s="271"/>
      <c r="D81" s="213"/>
      <c r="E81" s="213"/>
      <c r="F81" s="272"/>
      <c r="G81" s="213"/>
      <c r="H81" s="273"/>
      <c r="I81" s="273"/>
      <c r="J81" s="273"/>
      <c r="K81" s="273"/>
      <c r="L81" s="273"/>
      <c r="M81" s="273"/>
      <c r="N81" s="273"/>
      <c r="O81" s="273"/>
    </row>
    <row r="82" spans="1:15" ht="12.95" customHeight="1">
      <c r="B82" s="217"/>
      <c r="C82" s="234"/>
      <c r="F82" s="265"/>
      <c r="H82" s="270"/>
      <c r="I82" s="270"/>
      <c r="J82" s="270"/>
      <c r="K82" s="270"/>
      <c r="L82" s="270"/>
      <c r="M82" s="270"/>
      <c r="N82" s="270"/>
      <c r="O82" s="270"/>
    </row>
    <row r="83" spans="1:15">
      <c r="B83" s="260" t="s">
        <v>260</v>
      </c>
      <c r="C83" s="234"/>
      <c r="F83" s="265"/>
      <c r="H83" s="270"/>
      <c r="I83" s="270"/>
      <c r="J83" s="270"/>
      <c r="K83" s="270"/>
      <c r="L83" s="270"/>
      <c r="M83" s="270"/>
      <c r="N83" s="270"/>
      <c r="O83" s="270"/>
    </row>
    <row r="84" spans="1:15">
      <c r="C84" s="234" t="s">
        <v>39</v>
      </c>
      <c r="F84" s="265"/>
      <c r="H84" s="270"/>
      <c r="I84" s="270"/>
      <c r="J84" s="270"/>
      <c r="K84" s="270"/>
      <c r="L84" s="270"/>
      <c r="M84" s="270"/>
      <c r="N84" s="270"/>
      <c r="O84" s="270"/>
    </row>
    <row r="85" spans="1:15">
      <c r="D85" s="85" t="s">
        <v>74</v>
      </c>
      <c r="F85" s="202" t="s">
        <v>216</v>
      </c>
      <c r="H85" s="564">
        <v>71.187839999999994</v>
      </c>
      <c r="I85" s="564">
        <v>73.817250000000001</v>
      </c>
      <c r="J85" s="564">
        <v>75.449879999999993</v>
      </c>
      <c r="K85" s="597">
        <f>K67*K$62/1000</f>
        <v>82.22444999999999</v>
      </c>
      <c r="L85" s="597">
        <f t="shared" ref="L85:O85" si="32">L67*L$62/1000</f>
        <v>87.223696559999993</v>
      </c>
      <c r="M85" s="597">
        <f t="shared" si="32"/>
        <v>92.526897310848014</v>
      </c>
      <c r="N85" s="597">
        <f t="shared" si="32"/>
        <v>98.633672533363978</v>
      </c>
      <c r="O85" s="597">
        <f t="shared" si="32"/>
        <v>103.75422812999999</v>
      </c>
    </row>
    <row r="86" spans="1:15">
      <c r="D86" s="85" t="s">
        <v>37</v>
      </c>
      <c r="F86" s="202" t="s">
        <v>216</v>
      </c>
      <c r="H86" s="565">
        <v>20.563199999999998</v>
      </c>
      <c r="I86" s="565">
        <v>20.904</v>
      </c>
      <c r="J86" s="565">
        <v>22.393799999999999</v>
      </c>
      <c r="K86" s="599">
        <f>K68*K$62/1000</f>
        <v>24.048832499999996</v>
      </c>
      <c r="L86" s="599">
        <f t="shared" ref="L86:O86" si="33">L68*L$62/1000</f>
        <v>25.511001515999997</v>
      </c>
      <c r="M86" s="599">
        <f t="shared" si="33"/>
        <v>27.062070408172801</v>
      </c>
      <c r="N86" s="599">
        <f t="shared" si="33"/>
        <v>28.848167055112203</v>
      </c>
      <c r="O86" s="599">
        <f t="shared" si="33"/>
        <v>30.345816280499989</v>
      </c>
    </row>
    <row r="87" spans="1:15" ht="12.75" customHeight="1">
      <c r="D87" s="234" t="s">
        <v>40</v>
      </c>
      <c r="F87" s="265" t="s">
        <v>216</v>
      </c>
      <c r="H87" s="563">
        <v>91.751039999999989</v>
      </c>
      <c r="I87" s="563">
        <v>94.721249999999998</v>
      </c>
      <c r="J87" s="563">
        <v>97.843679999999992</v>
      </c>
      <c r="K87" s="600">
        <f>K86+K85</f>
        <v>106.27328249999999</v>
      </c>
      <c r="L87" s="600">
        <f t="shared" ref="L87:O87" si="34">L86+L85</f>
        <v>112.73469807599999</v>
      </c>
      <c r="M87" s="600">
        <f t="shared" si="34"/>
        <v>119.58896771902081</v>
      </c>
      <c r="N87" s="600">
        <f t="shared" si="34"/>
        <v>127.48183958847618</v>
      </c>
      <c r="O87" s="600">
        <f t="shared" si="34"/>
        <v>134.10004441049998</v>
      </c>
    </row>
    <row r="88" spans="1:15" ht="6" customHeight="1">
      <c r="D88" s="85"/>
      <c r="F88" s="265"/>
      <c r="H88" s="270"/>
      <c r="I88" s="270"/>
      <c r="J88" s="270"/>
      <c r="K88" s="270"/>
      <c r="L88" s="270"/>
      <c r="M88" s="270"/>
      <c r="N88" s="270"/>
      <c r="O88" s="270"/>
    </row>
    <row r="89" spans="1:15" ht="12.75" customHeight="1">
      <c r="C89" s="84" t="s">
        <v>41</v>
      </c>
      <c r="D89" s="85"/>
      <c r="F89" s="265"/>
      <c r="H89" s="270"/>
      <c r="I89" s="270"/>
      <c r="J89" s="270"/>
      <c r="K89" s="270"/>
      <c r="L89" s="270"/>
      <c r="M89" s="270"/>
      <c r="N89" s="270"/>
      <c r="O89" s="270"/>
    </row>
    <row r="90" spans="1:15" ht="12.75" customHeight="1">
      <c r="A90" s="274"/>
      <c r="D90" s="85" t="s">
        <v>62</v>
      </c>
      <c r="F90" s="202" t="s">
        <v>216</v>
      </c>
      <c r="H90" s="261">
        <v>10</v>
      </c>
      <c r="I90" s="261">
        <v>10</v>
      </c>
      <c r="J90" s="261">
        <v>10</v>
      </c>
      <c r="K90" s="596">
        <f>Assumptions!K27</f>
        <v>11.2</v>
      </c>
      <c r="L90" s="597">
        <f>K90*(1+L$63)</f>
        <v>11.423999999999999</v>
      </c>
      <c r="M90" s="597">
        <f t="shared" ref="M90:O90" si="35">L90*(1+M$63)</f>
        <v>11.652479999999999</v>
      </c>
      <c r="N90" s="597">
        <f t="shared" si="35"/>
        <v>11.943791999999998</v>
      </c>
      <c r="O90" s="597">
        <f t="shared" si="35"/>
        <v>12.242386799999997</v>
      </c>
    </row>
    <row r="91" spans="1:15" ht="12.75" customHeight="1">
      <c r="D91" s="85" t="s">
        <v>63</v>
      </c>
      <c r="F91" s="202" t="s">
        <v>216</v>
      </c>
      <c r="H91" s="261">
        <v>12</v>
      </c>
      <c r="I91" s="261">
        <v>12</v>
      </c>
      <c r="J91" s="261">
        <v>13</v>
      </c>
      <c r="K91" s="596">
        <f>Assumptions!K28</f>
        <v>12.2</v>
      </c>
      <c r="L91" s="597">
        <f t="shared" ref="L91:O95" si="36">K91*(1+L$63)</f>
        <v>12.443999999999999</v>
      </c>
      <c r="M91" s="597">
        <f t="shared" si="36"/>
        <v>12.692879999999999</v>
      </c>
      <c r="N91" s="597">
        <f t="shared" si="36"/>
        <v>13.010201999999998</v>
      </c>
      <c r="O91" s="597">
        <f t="shared" si="36"/>
        <v>13.335457049999997</v>
      </c>
    </row>
    <row r="92" spans="1:15" ht="12.75" customHeight="1">
      <c r="D92" s="219" t="s">
        <v>252</v>
      </c>
      <c r="F92" s="202" t="s">
        <v>216</v>
      </c>
      <c r="H92" s="261">
        <v>25</v>
      </c>
      <c r="I92" s="261">
        <v>25</v>
      </c>
      <c r="J92" s="261">
        <v>25</v>
      </c>
      <c r="K92" s="596">
        <f>Assumptions!K29</f>
        <v>26</v>
      </c>
      <c r="L92" s="597">
        <f t="shared" si="36"/>
        <v>26.52</v>
      </c>
      <c r="M92" s="597">
        <f t="shared" si="36"/>
        <v>27.0504</v>
      </c>
      <c r="N92" s="597">
        <f t="shared" si="36"/>
        <v>27.726659999999999</v>
      </c>
      <c r="O92" s="597">
        <f t="shared" si="36"/>
        <v>28.419826499999996</v>
      </c>
    </row>
    <row r="93" spans="1:15" ht="12.75" customHeight="1">
      <c r="D93" s="85" t="s">
        <v>64</v>
      </c>
      <c r="F93" s="202" t="s">
        <v>216</v>
      </c>
      <c r="H93" s="261">
        <v>10</v>
      </c>
      <c r="I93" s="261">
        <v>10</v>
      </c>
      <c r="J93" s="261">
        <v>10</v>
      </c>
      <c r="K93" s="596">
        <f>Assumptions!K30</f>
        <v>10.199999999999999</v>
      </c>
      <c r="L93" s="597">
        <f t="shared" si="36"/>
        <v>10.404</v>
      </c>
      <c r="M93" s="597">
        <f t="shared" si="36"/>
        <v>10.612080000000001</v>
      </c>
      <c r="N93" s="597">
        <f t="shared" si="36"/>
        <v>10.877381999999999</v>
      </c>
      <c r="O93" s="597">
        <f t="shared" si="36"/>
        <v>11.149316549999998</v>
      </c>
    </row>
    <row r="94" spans="1:15">
      <c r="D94" s="22" t="s">
        <v>189</v>
      </c>
      <c r="F94" s="202" t="s">
        <v>216</v>
      </c>
      <c r="H94" s="261">
        <v>6</v>
      </c>
      <c r="I94" s="261">
        <v>6</v>
      </c>
      <c r="J94" s="261">
        <v>6</v>
      </c>
      <c r="K94" s="596">
        <f>Assumptions!K31</f>
        <v>7.1</v>
      </c>
      <c r="L94" s="597">
        <f t="shared" si="36"/>
        <v>7.242</v>
      </c>
      <c r="M94" s="597">
        <f t="shared" si="36"/>
        <v>7.3868400000000003</v>
      </c>
      <c r="N94" s="597">
        <f t="shared" si="36"/>
        <v>7.5715109999999992</v>
      </c>
      <c r="O94" s="597">
        <f t="shared" si="36"/>
        <v>7.7607987749999987</v>
      </c>
    </row>
    <row r="95" spans="1:15">
      <c r="D95" s="22" t="s">
        <v>14</v>
      </c>
      <c r="F95" s="202" t="s">
        <v>216</v>
      </c>
      <c r="H95" s="264">
        <v>2</v>
      </c>
      <c r="I95" s="264">
        <v>2</v>
      </c>
      <c r="J95" s="264">
        <v>3</v>
      </c>
      <c r="K95" s="598">
        <f>Assumptions!K32</f>
        <v>2</v>
      </c>
      <c r="L95" s="599">
        <f t="shared" si="36"/>
        <v>2.04</v>
      </c>
      <c r="M95" s="599">
        <f t="shared" si="36"/>
        <v>2.0808</v>
      </c>
      <c r="N95" s="599">
        <f t="shared" si="36"/>
        <v>2.1328199999999997</v>
      </c>
      <c r="O95" s="599">
        <f t="shared" si="36"/>
        <v>2.1861404999999996</v>
      </c>
    </row>
    <row r="96" spans="1:15">
      <c r="D96" s="217" t="s">
        <v>60</v>
      </c>
      <c r="F96" s="265" t="s">
        <v>216</v>
      </c>
      <c r="H96" s="563">
        <v>65</v>
      </c>
      <c r="I96" s="563">
        <v>65</v>
      </c>
      <c r="J96" s="563">
        <v>67</v>
      </c>
      <c r="K96" s="600">
        <f>SUM(K90:K95)</f>
        <v>68.699999999999989</v>
      </c>
      <c r="L96" s="600">
        <f t="shared" ref="L96:O96" si="37">SUM(L90:L95)</f>
        <v>70.074000000000012</v>
      </c>
      <c r="M96" s="600">
        <f t="shared" si="37"/>
        <v>71.47547999999999</v>
      </c>
      <c r="N96" s="600">
        <f t="shared" si="37"/>
        <v>73.262366999999983</v>
      </c>
      <c r="O96" s="600">
        <f t="shared" si="37"/>
        <v>75.093926174999979</v>
      </c>
    </row>
    <row r="97" spans="1:15" ht="6" customHeight="1">
      <c r="C97" s="234"/>
      <c r="H97" s="267"/>
      <c r="I97" s="267"/>
      <c r="J97" s="267"/>
      <c r="K97" s="267"/>
      <c r="L97" s="267"/>
      <c r="M97" s="267"/>
      <c r="N97" s="267"/>
      <c r="O97" s="267"/>
    </row>
    <row r="98" spans="1:15" ht="13.5" thickBot="1">
      <c r="C98" s="217" t="s">
        <v>52</v>
      </c>
      <c r="F98" s="265" t="s">
        <v>216</v>
      </c>
      <c r="H98" s="566">
        <v>156.75103999999999</v>
      </c>
      <c r="I98" s="566">
        <v>159.72125</v>
      </c>
      <c r="J98" s="566">
        <v>164.84368000000001</v>
      </c>
      <c r="K98" s="601">
        <f>K96+K87</f>
        <v>174.97328249999998</v>
      </c>
      <c r="L98" s="601">
        <f t="shared" ref="L98:O98" si="38">L96+L87</f>
        <v>182.80869807599998</v>
      </c>
      <c r="M98" s="601">
        <f t="shared" si="38"/>
        <v>191.06444771902079</v>
      </c>
      <c r="N98" s="601">
        <f t="shared" si="38"/>
        <v>200.74420658847617</v>
      </c>
      <c r="O98" s="601">
        <f t="shared" si="38"/>
        <v>209.19397058549995</v>
      </c>
    </row>
    <row r="99" spans="1:15" ht="12.75" customHeight="1" thickTop="1">
      <c r="B99" s="275"/>
      <c r="C99" s="276"/>
      <c r="D99" s="41"/>
      <c r="E99" s="41"/>
      <c r="F99" s="277"/>
      <c r="G99" s="41"/>
      <c r="H99" s="278"/>
      <c r="I99" s="278"/>
      <c r="J99" s="278"/>
      <c r="K99" s="278"/>
      <c r="L99" s="278"/>
      <c r="M99" s="278"/>
      <c r="N99" s="278"/>
      <c r="O99" s="278"/>
    </row>
    <row r="100" spans="1:15">
      <c r="H100" s="279"/>
      <c r="I100" s="279"/>
      <c r="J100" s="279"/>
      <c r="K100" s="279"/>
      <c r="L100" s="279"/>
      <c r="M100" s="279"/>
      <c r="N100" s="279"/>
      <c r="O100" s="279"/>
    </row>
    <row r="101" spans="1:15">
      <c r="H101" s="279"/>
      <c r="I101" s="279"/>
      <c r="J101" s="279"/>
      <c r="K101" s="279"/>
      <c r="L101" s="279"/>
      <c r="M101" s="279"/>
      <c r="N101" s="279"/>
      <c r="O101" s="279"/>
    </row>
    <row r="102" spans="1:15" ht="12.75" customHeight="1">
      <c r="A102" s="194"/>
      <c r="B102" s="19"/>
      <c r="C102" s="21"/>
      <c r="D102" s="21"/>
      <c r="E102" s="21"/>
      <c r="F102" s="193"/>
      <c r="G102" s="21"/>
      <c r="H102" s="21"/>
      <c r="I102" s="21"/>
      <c r="J102" s="21"/>
      <c r="K102" s="21"/>
      <c r="L102" s="21"/>
      <c r="M102" s="21"/>
      <c r="N102" s="21"/>
      <c r="O102" s="247" t="str">
        <f>O54</f>
        <v>currently running: Base Case scenario mofo</v>
      </c>
    </row>
    <row r="103" spans="1:15" ht="23.25">
      <c r="A103" s="194"/>
      <c r="B103" s="19" t="str">
        <f>B$2</f>
        <v>Your Company Name</v>
      </c>
      <c r="C103" s="21"/>
      <c r="D103" s="21"/>
      <c r="E103" s="21"/>
      <c r="F103" s="193"/>
      <c r="G103" s="21"/>
      <c r="H103" s="21"/>
      <c r="I103" s="21"/>
      <c r="J103" s="21"/>
      <c r="K103" s="21"/>
      <c r="L103" s="21"/>
      <c r="M103" s="21"/>
      <c r="N103" s="21"/>
      <c r="O103" s="21"/>
    </row>
    <row r="104" spans="1:15" ht="18.75">
      <c r="A104" s="195"/>
      <c r="B104" s="196" t="s">
        <v>43</v>
      </c>
      <c r="C104" s="197"/>
      <c r="D104" s="197"/>
      <c r="E104" s="197"/>
      <c r="F104" s="198"/>
      <c r="G104" s="197"/>
      <c r="H104" s="197"/>
      <c r="I104" s="197"/>
      <c r="J104" s="197"/>
      <c r="K104" s="197"/>
      <c r="L104" s="197"/>
      <c r="M104" s="197"/>
      <c r="N104" s="197"/>
      <c r="O104" s="197"/>
    </row>
    <row r="105" spans="1:15" ht="6" customHeight="1" thickBot="1">
      <c r="A105" s="195"/>
      <c r="B105" s="199"/>
      <c r="C105" s="200"/>
      <c r="D105" s="200"/>
      <c r="E105" s="200"/>
      <c r="F105" s="201"/>
      <c r="G105" s="200"/>
      <c r="H105" s="200"/>
      <c r="I105" s="200"/>
      <c r="J105" s="200"/>
      <c r="K105" s="200"/>
      <c r="L105" s="200"/>
      <c r="M105" s="200"/>
      <c r="N105" s="200"/>
      <c r="O105" s="200"/>
    </row>
    <row r="106" spans="1:15" ht="12.75" customHeight="1">
      <c r="A106" s="196"/>
      <c r="B106" s="197"/>
      <c r="C106" s="197"/>
      <c r="D106" s="197"/>
      <c r="E106" s="197"/>
      <c r="F106" s="198"/>
      <c r="G106" s="197"/>
      <c r="H106" s="197"/>
      <c r="I106" s="197"/>
      <c r="J106" s="197"/>
      <c r="K106" s="197"/>
      <c r="L106" s="197"/>
      <c r="M106" s="197"/>
      <c r="N106" s="197"/>
      <c r="O106" s="197"/>
    </row>
    <row r="107" spans="1:15">
      <c r="G107" s="203"/>
      <c r="K107" s="204" t="s">
        <v>5</v>
      </c>
      <c r="L107" s="62"/>
      <c r="M107" s="62"/>
      <c r="N107" s="62"/>
      <c r="O107" s="62"/>
    </row>
    <row r="108" spans="1:15">
      <c r="G108" s="65"/>
      <c r="H108" s="248">
        <f>H7</f>
        <v>2017</v>
      </c>
      <c r="I108" s="248">
        <f>I7</f>
        <v>2018</v>
      </c>
      <c r="J108" s="249">
        <f>J60</f>
        <v>2019</v>
      </c>
      <c r="K108" s="250">
        <f t="shared" ref="K108:O108" si="39">K$7</f>
        <v>2020</v>
      </c>
      <c r="L108" s="250">
        <f t="shared" si="39"/>
        <v>2021</v>
      </c>
      <c r="M108" s="250">
        <f t="shared" si="39"/>
        <v>2022</v>
      </c>
      <c r="N108" s="250">
        <f t="shared" si="39"/>
        <v>2023</v>
      </c>
      <c r="O108" s="250">
        <f t="shared" si="39"/>
        <v>2024</v>
      </c>
    </row>
    <row r="109" spans="1:15" ht="6" customHeight="1">
      <c r="B109" s="18"/>
      <c r="C109" s="18"/>
      <c r="D109" s="18"/>
      <c r="E109" s="18"/>
      <c r="F109" s="245"/>
      <c r="G109" s="65"/>
      <c r="H109" s="65"/>
      <c r="I109" s="65"/>
      <c r="J109" s="65"/>
      <c r="K109" s="280"/>
      <c r="L109" s="280"/>
      <c r="M109" s="280"/>
      <c r="N109" s="143"/>
      <c r="O109" s="144"/>
    </row>
    <row r="110" spans="1:15">
      <c r="B110" s="281" t="s">
        <v>160</v>
      </c>
      <c r="C110" s="282"/>
      <c r="D110" s="282"/>
      <c r="E110" s="282"/>
      <c r="F110" s="283" t="s">
        <v>92</v>
      </c>
      <c r="G110" s="284"/>
      <c r="H110" s="285">
        <f t="shared" ref="H110:O110" si="40">H34</f>
        <v>326.39999999999998</v>
      </c>
      <c r="I110" s="285">
        <f t="shared" si="40"/>
        <v>326.625</v>
      </c>
      <c r="J110" s="285">
        <f t="shared" si="40"/>
        <v>344.52</v>
      </c>
      <c r="K110" s="285">
        <f t="shared" si="40"/>
        <v>363.82499999999999</v>
      </c>
      <c r="L110" s="285">
        <f t="shared" si="40"/>
        <v>378.37799999999999</v>
      </c>
      <c r="M110" s="285">
        <f t="shared" si="40"/>
        <v>393.51312000000001</v>
      </c>
      <c r="N110" s="285">
        <f t="shared" si="40"/>
        <v>409.25364480000007</v>
      </c>
      <c r="O110" s="445">
        <f t="shared" si="40"/>
        <v>420</v>
      </c>
    </row>
    <row r="111" spans="1:15" ht="6" customHeight="1">
      <c r="B111" s="18"/>
      <c r="C111" s="18"/>
      <c r="D111" s="18"/>
      <c r="E111" s="18"/>
      <c r="F111" s="238"/>
      <c r="G111" s="65"/>
      <c r="H111" s="65"/>
      <c r="I111" s="65"/>
      <c r="J111" s="65"/>
      <c r="K111" s="280"/>
      <c r="L111" s="280"/>
      <c r="M111" s="280"/>
      <c r="N111" s="143"/>
      <c r="O111" s="144"/>
    </row>
    <row r="112" spans="1:15">
      <c r="B112" s="286" t="s">
        <v>51</v>
      </c>
      <c r="C112" s="18"/>
      <c r="D112" s="18"/>
      <c r="E112" s="18"/>
      <c r="F112" s="238"/>
      <c r="G112" s="65"/>
      <c r="H112" s="65"/>
      <c r="I112" s="65"/>
      <c r="J112" s="287"/>
      <c r="K112" s="287"/>
      <c r="L112" s="287"/>
      <c r="M112" s="287"/>
      <c r="N112" s="143"/>
      <c r="O112" s="144"/>
    </row>
    <row r="113" spans="1:15">
      <c r="B113" s="18"/>
      <c r="C113" s="219" t="s">
        <v>250</v>
      </c>
      <c r="F113" s="216" t="s">
        <v>216</v>
      </c>
      <c r="G113" s="65"/>
      <c r="H113" s="567">
        <v>93.676799999999986</v>
      </c>
      <c r="I113" s="567">
        <v>101.12309999999999</v>
      </c>
      <c r="J113" s="567">
        <v>104.73407999999999</v>
      </c>
      <c r="K113" s="602">
        <f>K47</f>
        <v>113.51339999999999</v>
      </c>
      <c r="L113" s="602">
        <f t="shared" ref="L113:O113" si="41">L47</f>
        <v>140.94580500000001</v>
      </c>
      <c r="M113" s="602">
        <f t="shared" si="41"/>
        <v>178.55657820000002</v>
      </c>
      <c r="N113" s="602">
        <f t="shared" si="41"/>
        <v>197.66951043840004</v>
      </c>
      <c r="O113" s="602">
        <f t="shared" si="41"/>
        <v>222.495</v>
      </c>
    </row>
    <row r="114" spans="1:15">
      <c r="B114" s="18"/>
      <c r="C114" s="219" t="s">
        <v>251</v>
      </c>
      <c r="F114" s="216" t="s">
        <v>216</v>
      </c>
      <c r="G114" s="65"/>
      <c r="H114" s="567">
        <v>124.81372799999998</v>
      </c>
      <c r="I114" s="567">
        <v>139.48194000000001</v>
      </c>
      <c r="J114" s="567">
        <v>140.3367768</v>
      </c>
      <c r="K114" s="602">
        <f t="shared" ref="K114:O115" si="42">K48</f>
        <v>159.68279249999998</v>
      </c>
      <c r="L114" s="602">
        <f t="shared" si="42"/>
        <v>131.59986839999999</v>
      </c>
      <c r="M114" s="602">
        <f t="shared" si="42"/>
        <v>135.86532359399999</v>
      </c>
      <c r="N114" s="602">
        <f t="shared" si="42"/>
        <v>122.74335314841605</v>
      </c>
      <c r="O114" s="602">
        <f t="shared" si="42"/>
        <v>110.36024999999999</v>
      </c>
    </row>
    <row r="115" spans="1:15">
      <c r="B115" s="18"/>
      <c r="C115" s="85" t="s">
        <v>61</v>
      </c>
      <c r="F115" s="216" t="s">
        <v>216</v>
      </c>
      <c r="G115" s="65"/>
      <c r="H115" s="568">
        <v>28.723199999999999</v>
      </c>
      <c r="I115" s="568">
        <v>30.846464999999995</v>
      </c>
      <c r="J115" s="568">
        <v>32.867207999999998</v>
      </c>
      <c r="K115" s="603">
        <f t="shared" si="42"/>
        <v>35.254642500000003</v>
      </c>
      <c r="L115" s="603">
        <f t="shared" si="42"/>
        <v>36.6107958216</v>
      </c>
      <c r="M115" s="603">
        <f t="shared" si="42"/>
        <v>38.419132936504319</v>
      </c>
      <c r="N115" s="603">
        <f t="shared" si="42"/>
        <v>40.50963488737542</v>
      </c>
      <c r="O115" s="603">
        <f t="shared" si="42"/>
        <v>42.144416558999993</v>
      </c>
    </row>
    <row r="116" spans="1:15">
      <c r="B116" s="18"/>
      <c r="C116" s="234" t="s">
        <v>6</v>
      </c>
      <c r="F116" s="237" t="s">
        <v>216</v>
      </c>
      <c r="G116" s="65"/>
      <c r="H116" s="569">
        <v>189.76732799999999</v>
      </c>
      <c r="I116" s="569">
        <v>209.75857500000001</v>
      </c>
      <c r="J116" s="569">
        <v>212.2036488</v>
      </c>
      <c r="K116" s="604">
        <f>K113+K114-K115</f>
        <v>237.94154999999995</v>
      </c>
      <c r="L116" s="604">
        <f t="shared" ref="L116:O116" si="43">L113+L114-L115</f>
        <v>235.93487757840001</v>
      </c>
      <c r="M116" s="604">
        <f t="shared" si="43"/>
        <v>276.00276885749571</v>
      </c>
      <c r="N116" s="604">
        <f t="shared" si="43"/>
        <v>279.90322869944072</v>
      </c>
      <c r="O116" s="604">
        <f t="shared" si="43"/>
        <v>290.71083344100003</v>
      </c>
    </row>
    <row r="117" spans="1:15">
      <c r="B117" s="18"/>
      <c r="C117" s="18"/>
      <c r="D117" s="18"/>
      <c r="E117" s="18"/>
      <c r="F117" s="238"/>
      <c r="G117" s="65"/>
      <c r="H117" s="287"/>
      <c r="I117" s="287"/>
      <c r="J117" s="287"/>
      <c r="K117" s="287"/>
      <c r="L117" s="287"/>
      <c r="M117" s="287"/>
      <c r="N117" s="287"/>
      <c r="O117" s="287"/>
    </row>
    <row r="118" spans="1:15">
      <c r="B118" s="18"/>
      <c r="C118" s="18" t="s">
        <v>7</v>
      </c>
      <c r="D118" s="18"/>
      <c r="E118" s="18"/>
      <c r="F118" s="216" t="s">
        <v>216</v>
      </c>
      <c r="G118" s="65"/>
      <c r="H118" s="567">
        <v>156.75103999999999</v>
      </c>
      <c r="I118" s="567">
        <v>159.72125</v>
      </c>
      <c r="J118" s="567">
        <v>164.84368000000001</v>
      </c>
      <c r="K118" s="602">
        <f>K98</f>
        <v>174.97328249999998</v>
      </c>
      <c r="L118" s="602">
        <f t="shared" ref="L118:O118" si="44">L98</f>
        <v>182.80869807599998</v>
      </c>
      <c r="M118" s="602">
        <f t="shared" si="44"/>
        <v>191.06444771902079</v>
      </c>
      <c r="N118" s="602">
        <f t="shared" si="44"/>
        <v>200.74420658847617</v>
      </c>
      <c r="O118" s="602">
        <f t="shared" si="44"/>
        <v>209.19397058549995</v>
      </c>
    </row>
    <row r="119" spans="1:15">
      <c r="A119" s="242"/>
      <c r="B119" s="18"/>
      <c r="C119" s="37" t="s">
        <v>42</v>
      </c>
      <c r="D119" s="18"/>
      <c r="E119" s="18"/>
      <c r="F119" s="216" t="s">
        <v>216</v>
      </c>
      <c r="G119" s="65"/>
      <c r="H119" s="568">
        <v>3.4</v>
      </c>
      <c r="I119" s="568">
        <v>3.6</v>
      </c>
      <c r="J119" s="568">
        <v>3.8</v>
      </c>
      <c r="K119" s="605">
        <f>Assumptions!K33</f>
        <v>3.9</v>
      </c>
      <c r="L119" s="603">
        <f>K119*(1+L$63)</f>
        <v>3.9779999999999998</v>
      </c>
      <c r="M119" s="603">
        <f t="shared" ref="M119:O119" si="45">L119*(1+M$63)</f>
        <v>4.0575599999999996</v>
      </c>
      <c r="N119" s="603">
        <f t="shared" si="45"/>
        <v>4.1589989999999997</v>
      </c>
      <c r="O119" s="603">
        <f t="shared" si="45"/>
        <v>4.2629739749999995</v>
      </c>
    </row>
    <row r="120" spans="1:15">
      <c r="B120" s="18"/>
      <c r="C120" s="217" t="s">
        <v>52</v>
      </c>
      <c r="D120" s="18"/>
      <c r="E120" s="18"/>
      <c r="F120" s="237" t="s">
        <v>216</v>
      </c>
      <c r="G120" s="65"/>
      <c r="H120" s="569">
        <v>160.15103999999999</v>
      </c>
      <c r="I120" s="569">
        <v>163.32124999999999</v>
      </c>
      <c r="J120" s="569">
        <v>168.64368000000002</v>
      </c>
      <c r="K120" s="604">
        <f>K118+K119</f>
        <v>178.87328249999999</v>
      </c>
      <c r="L120" s="604">
        <f t="shared" ref="L120:O120" si="46">L118+L119</f>
        <v>186.78669807599999</v>
      </c>
      <c r="M120" s="604">
        <f t="shared" si="46"/>
        <v>195.12200771902079</v>
      </c>
      <c r="N120" s="604">
        <f t="shared" si="46"/>
        <v>204.90320558847617</v>
      </c>
      <c r="O120" s="604">
        <f t="shared" si="46"/>
        <v>213.45694456049995</v>
      </c>
    </row>
    <row r="121" spans="1:15">
      <c r="B121" s="18"/>
      <c r="C121" s="217"/>
      <c r="D121" s="18"/>
      <c r="E121" s="18"/>
      <c r="F121" s="237"/>
      <c r="G121" s="65"/>
      <c r="H121" s="289"/>
      <c r="I121" s="289"/>
      <c r="J121" s="289"/>
      <c r="K121" s="289"/>
      <c r="L121" s="289"/>
      <c r="M121" s="289"/>
      <c r="N121" s="289"/>
      <c r="O121" s="289"/>
    </row>
    <row r="122" spans="1:15">
      <c r="B122" s="18"/>
      <c r="C122" s="22" t="s">
        <v>190</v>
      </c>
      <c r="D122" s="18"/>
      <c r="E122" s="18"/>
      <c r="F122" s="216" t="s">
        <v>216</v>
      </c>
      <c r="G122" s="65"/>
      <c r="H122" s="288">
        <v>0</v>
      </c>
      <c r="I122" s="288">
        <v>0</v>
      </c>
      <c r="J122" s="288">
        <v>0</v>
      </c>
      <c r="K122" s="605">
        <f>Assumptions!G64</f>
        <v>0</v>
      </c>
      <c r="L122" s="605">
        <f>Assumptions!H64</f>
        <v>0</v>
      </c>
      <c r="M122" s="605">
        <f>Assumptions!I64</f>
        <v>0</v>
      </c>
      <c r="N122" s="605">
        <f>Assumptions!J64</f>
        <v>0</v>
      </c>
      <c r="O122" s="605">
        <f>Assumptions!K64</f>
        <v>0</v>
      </c>
    </row>
    <row r="123" spans="1:15">
      <c r="B123" s="234"/>
      <c r="C123" s="234" t="s">
        <v>8</v>
      </c>
      <c r="F123" s="237" t="s">
        <v>216</v>
      </c>
      <c r="H123" s="563">
        <v>29.616287999999997</v>
      </c>
      <c r="I123" s="563">
        <v>46.437325000000016</v>
      </c>
      <c r="J123" s="563">
        <v>43.559968799999979</v>
      </c>
      <c r="K123" s="600">
        <f>K116-K120</f>
        <v>59.068267499999962</v>
      </c>
      <c r="L123" s="600">
        <f t="shared" ref="L123:O123" si="47">L116-L120</f>
        <v>49.148179502400012</v>
      </c>
      <c r="M123" s="600">
        <f t="shared" si="47"/>
        <v>80.880761138474924</v>
      </c>
      <c r="N123" s="600">
        <f t="shared" si="47"/>
        <v>75.000023110964548</v>
      </c>
      <c r="O123" s="600">
        <f t="shared" si="47"/>
        <v>77.253888880500085</v>
      </c>
    </row>
    <row r="124" spans="1:15">
      <c r="F124" s="216"/>
      <c r="H124" s="267"/>
      <c r="I124" s="267"/>
      <c r="J124" s="267"/>
      <c r="K124" s="267"/>
      <c r="L124" s="267"/>
      <c r="M124" s="267"/>
      <c r="N124" s="267"/>
      <c r="O124" s="267"/>
    </row>
    <row r="125" spans="1:15">
      <c r="C125" s="22" t="s">
        <v>53</v>
      </c>
      <c r="F125" s="216" t="s">
        <v>216</v>
      </c>
      <c r="H125" s="565">
        <v>15.4</v>
      </c>
      <c r="I125" s="565">
        <v>15.5</v>
      </c>
      <c r="J125" s="565">
        <v>15.8</v>
      </c>
      <c r="K125" s="599">
        <f>K245</f>
        <v>16.174666666666667</v>
      </c>
      <c r="L125" s="599">
        <f t="shared" ref="L125:O125" si="48">L245</f>
        <v>16.724666666666668</v>
      </c>
      <c r="M125" s="599">
        <f t="shared" si="48"/>
        <v>17.297000000000001</v>
      </c>
      <c r="N125" s="599">
        <f t="shared" si="48"/>
        <v>17.882224999999998</v>
      </c>
      <c r="O125" s="599">
        <f t="shared" si="48"/>
        <v>18.482080624999998</v>
      </c>
    </row>
    <row r="126" spans="1:15">
      <c r="C126" s="217" t="s">
        <v>10</v>
      </c>
      <c r="F126" s="237" t="s">
        <v>216</v>
      </c>
      <c r="H126" s="563">
        <v>14.216287999999997</v>
      </c>
      <c r="I126" s="563">
        <v>30.937325000000016</v>
      </c>
      <c r="J126" s="563">
        <v>27.759968799999978</v>
      </c>
      <c r="K126" s="600">
        <f>K123-K125</f>
        <v>42.893600833333295</v>
      </c>
      <c r="L126" s="600">
        <f t="shared" ref="L126:O126" si="49">L123-L125</f>
        <v>32.423512835733348</v>
      </c>
      <c r="M126" s="600">
        <f t="shared" si="49"/>
        <v>63.583761138474927</v>
      </c>
      <c r="N126" s="600">
        <f t="shared" si="49"/>
        <v>57.11779811096455</v>
      </c>
      <c r="O126" s="600">
        <f t="shared" si="49"/>
        <v>58.77180825550009</v>
      </c>
    </row>
    <row r="127" spans="1:15" ht="6" customHeight="1">
      <c r="C127" s="217"/>
      <c r="F127" s="237"/>
      <c r="H127" s="270"/>
      <c r="I127" s="270"/>
      <c r="J127" s="270"/>
      <c r="K127" s="270"/>
      <c r="L127" s="270"/>
      <c r="M127" s="270"/>
      <c r="N127" s="270"/>
      <c r="O127" s="270"/>
    </row>
    <row r="128" spans="1:15">
      <c r="C128" s="290" t="s">
        <v>85</v>
      </c>
      <c r="D128" s="291"/>
      <c r="E128" s="291"/>
      <c r="F128" s="216" t="s">
        <v>216</v>
      </c>
      <c r="G128" s="291"/>
      <c r="H128" s="570">
        <v>9</v>
      </c>
      <c r="I128" s="570">
        <v>13</v>
      </c>
      <c r="J128" s="570">
        <v>14</v>
      </c>
      <c r="K128" s="547">
        <f>K367</f>
        <v>16</v>
      </c>
      <c r="L128" s="547">
        <f t="shared" ref="L128:O128" si="50">L367</f>
        <v>14.07536370994317</v>
      </c>
      <c r="M128" s="547">
        <f t="shared" si="50"/>
        <v>12.551677871298352</v>
      </c>
      <c r="N128" s="547">
        <f t="shared" si="50"/>
        <v>10.099240548245628</v>
      </c>
      <c r="O128" s="547">
        <f t="shared" si="50"/>
        <v>8</v>
      </c>
    </row>
    <row r="129" spans="2:16">
      <c r="C129" s="84" t="s">
        <v>87</v>
      </c>
      <c r="F129" s="237" t="s">
        <v>216</v>
      </c>
      <c r="H129" s="564">
        <v>5.2162879999999969</v>
      </c>
      <c r="I129" s="564">
        <v>17.937325000000016</v>
      </c>
      <c r="J129" s="564">
        <v>13.759968799999978</v>
      </c>
      <c r="K129" s="597">
        <f>K126-K128</f>
        <v>26.893600833333295</v>
      </c>
      <c r="L129" s="597">
        <f t="shared" ref="L129:O129" si="51">L126-L128</f>
        <v>18.348149125790179</v>
      </c>
      <c r="M129" s="597">
        <f t="shared" si="51"/>
        <v>51.032083267176574</v>
      </c>
      <c r="N129" s="597">
        <f t="shared" si="51"/>
        <v>47.018557562718925</v>
      </c>
      <c r="O129" s="597">
        <f t="shared" si="51"/>
        <v>50.77180825550009</v>
      </c>
    </row>
    <row r="130" spans="2:16" ht="6" customHeight="1">
      <c r="C130" s="217"/>
      <c r="F130" s="237"/>
      <c r="H130" s="292"/>
      <c r="I130" s="292"/>
      <c r="J130" s="292"/>
      <c r="K130" s="292"/>
      <c r="L130" s="270"/>
      <c r="M130" s="266"/>
      <c r="N130" s="266"/>
      <c r="O130" s="270"/>
    </row>
    <row r="131" spans="2:16">
      <c r="C131" s="22" t="s">
        <v>121</v>
      </c>
      <c r="F131" s="216" t="s">
        <v>216</v>
      </c>
      <c r="H131" s="261">
        <v>0</v>
      </c>
      <c r="I131" s="261">
        <v>0</v>
      </c>
      <c r="J131" s="261">
        <v>0</v>
      </c>
      <c r="K131" s="597">
        <f>K280</f>
        <v>0</v>
      </c>
      <c r="L131" s="597">
        <f t="shared" ref="L131:O131" si="52">L280</f>
        <v>1.0771074914159313</v>
      </c>
      <c r="M131" s="597">
        <f t="shared" si="52"/>
        <v>9.7350714861070813</v>
      </c>
      <c r="N131" s="597">
        <f t="shared" si="52"/>
        <v>9.2005520381709722</v>
      </c>
      <c r="O131" s="597">
        <f t="shared" si="52"/>
        <v>10.244608737405017</v>
      </c>
    </row>
    <row r="132" spans="2:16">
      <c r="C132" s="4" t="s">
        <v>280</v>
      </c>
      <c r="F132" s="216" t="s">
        <v>216</v>
      </c>
      <c r="H132" s="264">
        <v>0</v>
      </c>
      <c r="I132" s="264">
        <v>0</v>
      </c>
      <c r="J132" s="264">
        <v>0</v>
      </c>
      <c r="K132" s="599">
        <f>K281</f>
        <v>3.8279361749999921</v>
      </c>
      <c r="L132" s="599">
        <f t="shared" ref="L132:O132" si="53">L281</f>
        <v>1.4220638250000079</v>
      </c>
      <c r="M132" s="599">
        <f t="shared" si="53"/>
        <v>0</v>
      </c>
      <c r="N132" s="599">
        <f t="shared" si="53"/>
        <v>0</v>
      </c>
      <c r="O132" s="599">
        <f t="shared" si="53"/>
        <v>0</v>
      </c>
    </row>
    <row r="133" spans="2:16">
      <c r="C133" s="234" t="s">
        <v>122</v>
      </c>
      <c r="F133" s="237" t="s">
        <v>216</v>
      </c>
      <c r="H133" s="571">
        <v>0</v>
      </c>
      <c r="I133" s="571">
        <v>0</v>
      </c>
      <c r="J133" s="571">
        <v>0</v>
      </c>
      <c r="K133" s="606">
        <f>K131+K132</f>
        <v>3.8279361749999921</v>
      </c>
      <c r="L133" s="606">
        <f t="shared" ref="L133:O133" si="54">L131+L132</f>
        <v>2.4991713164159393</v>
      </c>
      <c r="M133" s="606">
        <f t="shared" si="54"/>
        <v>9.7350714861070813</v>
      </c>
      <c r="N133" s="606">
        <f t="shared" si="54"/>
        <v>9.2005520381709722</v>
      </c>
      <c r="O133" s="606">
        <f t="shared" si="54"/>
        <v>10.244608737405017</v>
      </c>
    </row>
    <row r="134" spans="2:16">
      <c r="F134" s="216"/>
    </row>
    <row r="135" spans="2:16" ht="13.5" thickBot="1">
      <c r="B135" s="18"/>
      <c r="C135" s="293" t="s">
        <v>11</v>
      </c>
      <c r="D135" s="286"/>
      <c r="E135" s="286"/>
      <c r="F135" s="237" t="s">
        <v>216</v>
      </c>
      <c r="G135" s="18"/>
      <c r="H135" s="572">
        <v>5.2162879999999969</v>
      </c>
      <c r="I135" s="572">
        <v>17.937325000000016</v>
      </c>
      <c r="J135" s="572">
        <v>13.759968799999978</v>
      </c>
      <c r="K135" s="607">
        <f>K129-K133</f>
        <v>23.065664658333304</v>
      </c>
      <c r="L135" s="607">
        <f t="shared" ref="L135:O135" si="55">L129-L133</f>
        <v>15.84897780937424</v>
      </c>
      <c r="M135" s="607">
        <f t="shared" si="55"/>
        <v>41.297011781069493</v>
      </c>
      <c r="N135" s="607">
        <f t="shared" si="55"/>
        <v>37.818005524547956</v>
      </c>
      <c r="O135" s="607">
        <f t="shared" si="55"/>
        <v>40.527199518095074</v>
      </c>
    </row>
    <row r="136" spans="2:16" ht="13.5" thickTop="1">
      <c r="B136" s="18"/>
      <c r="C136" s="294"/>
      <c r="D136" s="18"/>
      <c r="E136" s="18"/>
      <c r="F136" s="237"/>
      <c r="G136" s="18"/>
      <c r="H136" s="99"/>
      <c r="I136" s="99"/>
      <c r="J136" s="99"/>
      <c r="K136" s="99"/>
      <c r="L136" s="99"/>
      <c r="M136" s="99"/>
      <c r="N136" s="99"/>
      <c r="O136" s="99"/>
    </row>
    <row r="137" spans="2:16">
      <c r="B137" s="18"/>
      <c r="C137" s="295" t="s">
        <v>207</v>
      </c>
      <c r="D137" s="18"/>
      <c r="E137" s="18"/>
      <c r="F137" s="216" t="s">
        <v>163</v>
      </c>
      <c r="G137" s="18"/>
      <c r="H137" s="261">
        <v>13.9</v>
      </c>
      <c r="I137" s="296">
        <v>14.2</v>
      </c>
      <c r="J137" s="296">
        <v>14.6</v>
      </c>
      <c r="K137" s="550">
        <f>K404</f>
        <v>14.8</v>
      </c>
      <c r="L137" s="550">
        <f t="shared" ref="L137:O137" si="56">L404</f>
        <v>14.8</v>
      </c>
      <c r="M137" s="550">
        <f t="shared" si="56"/>
        <v>14.8</v>
      </c>
      <c r="N137" s="550">
        <f t="shared" si="56"/>
        <v>14.8</v>
      </c>
      <c r="O137" s="550">
        <f t="shared" si="56"/>
        <v>14.8</v>
      </c>
    </row>
    <row r="138" spans="2:16">
      <c r="C138" s="234" t="s">
        <v>162</v>
      </c>
      <c r="F138" s="237" t="s">
        <v>218</v>
      </c>
      <c r="H138" s="573">
        <v>0.37527251798561129</v>
      </c>
      <c r="I138" s="573">
        <v>1.2631919014084518</v>
      </c>
      <c r="J138" s="573">
        <v>0.94246361643835463</v>
      </c>
      <c r="K138" s="554">
        <f>K135/K137</f>
        <v>1.5584908552927907</v>
      </c>
      <c r="L138" s="554">
        <f t="shared" ref="L138:O138" si="57">L135/L137</f>
        <v>1.0708768790117729</v>
      </c>
      <c r="M138" s="554">
        <f t="shared" si="57"/>
        <v>2.7903386338560465</v>
      </c>
      <c r="N138" s="554">
        <f t="shared" si="57"/>
        <v>2.5552706435505375</v>
      </c>
      <c r="O138" s="554">
        <f t="shared" si="57"/>
        <v>2.7383242917631807</v>
      </c>
    </row>
    <row r="139" spans="2:16">
      <c r="H139" s="279"/>
      <c r="I139" s="279"/>
      <c r="J139" s="279"/>
      <c r="K139" s="279"/>
      <c r="L139" s="279"/>
      <c r="M139" s="279"/>
      <c r="N139" s="279"/>
      <c r="O139" s="279"/>
    </row>
    <row r="140" spans="2:16">
      <c r="B140" s="297" t="s">
        <v>44</v>
      </c>
      <c r="C140" s="298"/>
      <c r="D140" s="298"/>
      <c r="E140" s="298"/>
      <c r="F140" s="299"/>
      <c r="G140" s="298"/>
      <c r="H140" s="300"/>
      <c r="I140" s="300"/>
      <c r="J140" s="300"/>
      <c r="K140" s="300"/>
      <c r="L140" s="300"/>
      <c r="M140" s="300"/>
      <c r="N140" s="300"/>
      <c r="O140" s="512"/>
    </row>
    <row r="141" spans="2:16">
      <c r="B141" s="34"/>
      <c r="C141" s="18" t="s">
        <v>45</v>
      </c>
      <c r="D141" s="18"/>
      <c r="E141" s="18"/>
      <c r="F141" s="245"/>
      <c r="G141" s="18"/>
      <c r="H141" s="577">
        <v>0.15606631716920205</v>
      </c>
      <c r="I141" s="577">
        <v>0.22138463230883415</v>
      </c>
      <c r="J141" s="577">
        <v>0.20527436284121039</v>
      </c>
      <c r="K141" s="608">
        <f>K123/K116</f>
        <v>0.24824696443307179</v>
      </c>
      <c r="L141" s="608">
        <f t="shared" ref="L141:O141" si="58">L123/L116</f>
        <v>0.20831248015066492</v>
      </c>
      <c r="M141" s="608">
        <f t="shared" si="58"/>
        <v>0.29304329617154984</v>
      </c>
      <c r="N141" s="608">
        <f t="shared" si="58"/>
        <v>0.26794983201676231</v>
      </c>
      <c r="O141" s="608">
        <f t="shared" si="58"/>
        <v>0.26574134842545805</v>
      </c>
      <c r="P141" s="301"/>
    </row>
    <row r="142" spans="2:16">
      <c r="B142" s="34"/>
      <c r="C142" s="18" t="s">
        <v>46</v>
      </c>
      <c r="D142" s="18"/>
      <c r="E142" s="18"/>
      <c r="F142" s="302"/>
      <c r="G142" s="18"/>
      <c r="H142" s="577">
        <v>7.4914307693682639E-2</v>
      </c>
      <c r="I142" s="577">
        <v>0.14749015624271863</v>
      </c>
      <c r="J142" s="577">
        <v>0.13081758469744079</v>
      </c>
      <c r="K142" s="608">
        <f>K126/K116</f>
        <v>0.18026948565029227</v>
      </c>
      <c r="L142" s="608">
        <f t="shared" ref="L142:O142" si="59">L126/L116</f>
        <v>0.13742568783608169</v>
      </c>
      <c r="M142" s="608">
        <f t="shared" si="59"/>
        <v>0.23037363502430716</v>
      </c>
      <c r="N142" s="608">
        <f t="shared" si="59"/>
        <v>0.20406266257220448</v>
      </c>
      <c r="O142" s="608">
        <f t="shared" si="59"/>
        <v>0.20216586894904234</v>
      </c>
    </row>
    <row r="143" spans="2:16">
      <c r="B143" s="43"/>
      <c r="C143" s="41" t="s">
        <v>184</v>
      </c>
      <c r="D143" s="41"/>
      <c r="E143" s="41"/>
      <c r="F143" s="303"/>
      <c r="G143" s="41"/>
      <c r="H143" s="304"/>
      <c r="I143" s="304"/>
      <c r="J143" s="578">
        <v>5.9412645941277972E-2</v>
      </c>
      <c r="K143" s="609">
        <f>K135/K217</f>
        <v>9.2243275839120356E-2</v>
      </c>
      <c r="L143" s="609">
        <f t="shared" ref="L143:O143" si="60">L135/L217</f>
        <v>6.0323809294422076E-2</v>
      </c>
      <c r="M143" s="609">
        <f t="shared" si="60"/>
        <v>0.13962574382792162</v>
      </c>
      <c r="N143" s="609">
        <f t="shared" si="60"/>
        <v>0.11599770905503841</v>
      </c>
      <c r="O143" s="609">
        <f t="shared" si="60"/>
        <v>0.11306377382043332</v>
      </c>
    </row>
    <row r="144" spans="2:16">
      <c r="B144" s="18"/>
      <c r="C144" s="305"/>
      <c r="D144" s="18"/>
      <c r="E144" s="18"/>
      <c r="F144" s="302"/>
      <c r="G144" s="18"/>
      <c r="H144" s="306"/>
      <c r="I144" s="306"/>
      <c r="J144" s="306"/>
      <c r="K144" s="306"/>
      <c r="L144" s="306"/>
      <c r="M144" s="306"/>
      <c r="N144" s="306"/>
      <c r="O144" s="306"/>
    </row>
    <row r="145" spans="2:15">
      <c r="B145" s="234"/>
      <c r="F145" s="307"/>
      <c r="H145" s="279"/>
      <c r="I145" s="279"/>
      <c r="J145" s="279"/>
      <c r="K145" s="279"/>
      <c r="L145" s="279"/>
      <c r="M145" s="279"/>
      <c r="N145" s="279"/>
      <c r="O145" s="279"/>
    </row>
    <row r="146" spans="2:15">
      <c r="B146" s="234"/>
      <c r="F146" s="307"/>
      <c r="H146" s="279"/>
      <c r="I146" s="279"/>
      <c r="J146" s="279"/>
      <c r="K146" s="279"/>
      <c r="L146" s="279"/>
      <c r="M146" s="279"/>
      <c r="N146" s="279"/>
      <c r="O146" s="279"/>
    </row>
    <row r="147" spans="2:15" ht="12.75" customHeight="1">
      <c r="B147" s="19"/>
      <c r="C147" s="21"/>
      <c r="D147" s="21"/>
      <c r="E147" s="21"/>
      <c r="F147" s="21"/>
      <c r="G147" s="21"/>
      <c r="H147" s="21"/>
      <c r="I147" s="21"/>
      <c r="J147" s="21"/>
      <c r="K147" s="21"/>
      <c r="L147" s="21"/>
      <c r="M147" s="21"/>
      <c r="N147" s="21"/>
      <c r="O147" s="247" t="str">
        <f>O225</f>
        <v>currently running: Base Case scenario mofo</v>
      </c>
    </row>
    <row r="148" spans="2:15" ht="23.25">
      <c r="B148" s="19" t="str">
        <f>B2</f>
        <v>Your Company Name</v>
      </c>
      <c r="C148" s="21"/>
      <c r="D148" s="21"/>
      <c r="E148" s="21"/>
      <c r="F148" s="21"/>
      <c r="G148" s="21"/>
      <c r="H148" s="21"/>
      <c r="I148" s="21"/>
      <c r="J148" s="21"/>
      <c r="K148" s="21"/>
      <c r="L148" s="21"/>
      <c r="M148" s="21"/>
      <c r="N148" s="21"/>
      <c r="O148" s="21"/>
    </row>
    <row r="149" spans="2:15" ht="18.75">
      <c r="B149" s="196" t="s">
        <v>56</v>
      </c>
      <c r="C149" s="24"/>
      <c r="D149" s="24"/>
      <c r="E149" s="24"/>
      <c r="F149" s="24"/>
      <c r="G149" s="24"/>
      <c r="H149" s="24"/>
      <c r="I149" s="24"/>
      <c r="J149" s="24"/>
      <c r="K149" s="24"/>
      <c r="L149" s="24"/>
      <c r="M149" s="24"/>
      <c r="N149" s="24"/>
      <c r="O149" s="24"/>
    </row>
    <row r="150" spans="2:15" ht="6" customHeight="1" thickBot="1">
      <c r="B150" s="199"/>
      <c r="C150" s="308"/>
      <c r="D150" s="308"/>
      <c r="E150" s="308"/>
      <c r="F150" s="308"/>
      <c r="G150" s="308"/>
      <c r="H150" s="308"/>
      <c r="I150" s="308"/>
      <c r="J150" s="308"/>
      <c r="K150" s="308"/>
      <c r="L150" s="308"/>
      <c r="M150" s="308"/>
      <c r="N150" s="308"/>
      <c r="O150" s="308"/>
    </row>
    <row r="151" spans="2:15">
      <c r="B151" s="309" t="s">
        <v>219</v>
      </c>
      <c r="F151" s="22"/>
    </row>
    <row r="152" spans="2:15">
      <c r="F152" s="22"/>
      <c r="K152" s="204" t="s">
        <v>5</v>
      </c>
      <c r="L152" s="62"/>
      <c r="M152" s="62"/>
      <c r="N152" s="62"/>
      <c r="O152" s="62"/>
    </row>
    <row r="153" spans="2:15">
      <c r="B153" s="310"/>
      <c r="F153" s="311"/>
      <c r="G153" s="312"/>
      <c r="H153" s="248">
        <f>H7</f>
        <v>2017</v>
      </c>
      <c r="I153" s="248">
        <f>I7</f>
        <v>2018</v>
      </c>
      <c r="J153" s="249">
        <f>J7</f>
        <v>2019</v>
      </c>
      <c r="K153" s="313">
        <f>K$7</f>
        <v>2020</v>
      </c>
      <c r="L153" s="313">
        <f>L$7</f>
        <v>2021</v>
      </c>
      <c r="M153" s="313">
        <f>M$7</f>
        <v>2022</v>
      </c>
      <c r="N153" s="313">
        <f>N$7</f>
        <v>2023</v>
      </c>
      <c r="O153" s="313">
        <f>O$7</f>
        <v>2024</v>
      </c>
    </row>
    <row r="154" spans="2:15">
      <c r="B154" s="234" t="s">
        <v>13</v>
      </c>
      <c r="F154" s="22"/>
    </row>
    <row r="155" spans="2:15">
      <c r="C155" s="22" t="s">
        <v>11</v>
      </c>
      <c r="F155" s="22"/>
      <c r="G155" s="314"/>
      <c r="H155" s="574">
        <v>5.2162879999999969</v>
      </c>
      <c r="I155" s="574">
        <v>17.937325000000016</v>
      </c>
      <c r="J155" s="574">
        <v>13.759968799999978</v>
      </c>
      <c r="K155" s="610">
        <f>K135</f>
        <v>23.065664658333304</v>
      </c>
      <c r="L155" s="610">
        <f t="shared" ref="L155:O155" si="61">L135</f>
        <v>15.84897780937424</v>
      </c>
      <c r="M155" s="610">
        <f t="shared" si="61"/>
        <v>41.297011781069493</v>
      </c>
      <c r="N155" s="610">
        <f t="shared" si="61"/>
        <v>37.818005524547956</v>
      </c>
      <c r="O155" s="610">
        <f t="shared" si="61"/>
        <v>40.527199518095074</v>
      </c>
    </row>
    <row r="156" spans="2:15">
      <c r="C156" s="22" t="s">
        <v>9</v>
      </c>
      <c r="F156" s="22"/>
      <c r="G156" s="314"/>
      <c r="H156" s="574">
        <v>15.4</v>
      </c>
      <c r="I156" s="574">
        <v>15.5</v>
      </c>
      <c r="J156" s="574">
        <v>15.8</v>
      </c>
      <c r="K156" s="610">
        <f>K125</f>
        <v>16.174666666666667</v>
      </c>
      <c r="L156" s="610">
        <f t="shared" ref="L156:O156" si="62">L125</f>
        <v>16.724666666666668</v>
      </c>
      <c r="M156" s="610">
        <f t="shared" si="62"/>
        <v>17.297000000000001</v>
      </c>
      <c r="N156" s="610">
        <f t="shared" si="62"/>
        <v>17.882224999999998</v>
      </c>
      <c r="O156" s="610">
        <f t="shared" si="62"/>
        <v>18.482080624999998</v>
      </c>
    </row>
    <row r="157" spans="2:15">
      <c r="C157" s="4" t="s">
        <v>280</v>
      </c>
      <c r="F157" s="22"/>
      <c r="G157" s="316"/>
      <c r="H157" s="575">
        <v>0</v>
      </c>
      <c r="I157" s="575">
        <v>0</v>
      </c>
      <c r="J157" s="575">
        <v>0</v>
      </c>
      <c r="K157" s="610">
        <f>K132</f>
        <v>3.8279361749999921</v>
      </c>
      <c r="L157" s="610">
        <f t="shared" ref="L157:O157" si="63">L132</f>
        <v>1.4220638250000079</v>
      </c>
      <c r="M157" s="610">
        <f t="shared" si="63"/>
        <v>0</v>
      </c>
      <c r="N157" s="610">
        <f t="shared" si="63"/>
        <v>0</v>
      </c>
      <c r="O157" s="610">
        <f t="shared" si="63"/>
        <v>0</v>
      </c>
    </row>
    <row r="158" spans="2:15">
      <c r="C158" s="22" t="s">
        <v>185</v>
      </c>
      <c r="F158" s="22"/>
      <c r="G158" s="317"/>
      <c r="H158" s="565">
        <v>0</v>
      </c>
      <c r="I158" s="565">
        <v>0</v>
      </c>
      <c r="J158" s="565">
        <v>0</v>
      </c>
      <c r="K158" s="599">
        <f>K320</f>
        <v>1.6028190573770615</v>
      </c>
      <c r="L158" s="599">
        <f t="shared" ref="L158:O158" si="64">L320</f>
        <v>5.2201602438941705</v>
      </c>
      <c r="M158" s="599">
        <f t="shared" si="64"/>
        <v>-2.3391428866965569</v>
      </c>
      <c r="N158" s="599">
        <f t="shared" si="64"/>
        <v>-0.95784540018330944</v>
      </c>
      <c r="O158" s="599">
        <f t="shared" si="64"/>
        <v>1.328809815055358</v>
      </c>
    </row>
    <row r="159" spans="2:15">
      <c r="C159" s="217" t="s">
        <v>15</v>
      </c>
      <c r="F159" s="22"/>
      <c r="G159" s="270"/>
      <c r="H159" s="576">
        <v>20.616287999999997</v>
      </c>
      <c r="I159" s="576">
        <v>33.437325000000016</v>
      </c>
      <c r="J159" s="576">
        <v>29.559968799999979</v>
      </c>
      <c r="K159" s="611">
        <f>SUM(K155:K158)</f>
        <v>44.671086557377023</v>
      </c>
      <c r="L159" s="611">
        <f t="shared" ref="L159:O159" si="65">SUM(L155:L158)</f>
        <v>39.215868544935091</v>
      </c>
      <c r="M159" s="611">
        <f t="shared" si="65"/>
        <v>56.25486889437294</v>
      </c>
      <c r="N159" s="611">
        <f t="shared" si="65"/>
        <v>54.742385124364645</v>
      </c>
      <c r="O159" s="611">
        <f t="shared" si="65"/>
        <v>60.338089958150427</v>
      </c>
    </row>
    <row r="160" spans="2:15">
      <c r="B160" s="219"/>
      <c r="F160" s="22"/>
      <c r="G160" s="279"/>
      <c r="H160" s="226"/>
      <c r="I160" s="226"/>
      <c r="J160" s="226"/>
      <c r="K160" s="226"/>
      <c r="L160" s="226"/>
      <c r="M160" s="226"/>
      <c r="N160" s="226"/>
      <c r="O160" s="226"/>
    </row>
    <row r="161" spans="1:15">
      <c r="B161" s="219"/>
      <c r="F161" s="22"/>
      <c r="G161" s="279"/>
      <c r="H161" s="226"/>
      <c r="I161" s="226"/>
      <c r="J161" s="226"/>
      <c r="K161" s="226"/>
      <c r="L161" s="226"/>
      <c r="M161" s="226"/>
      <c r="N161" s="226"/>
      <c r="O161" s="226"/>
    </row>
    <row r="162" spans="1:15">
      <c r="B162" s="234" t="s">
        <v>150</v>
      </c>
      <c r="C162" s="291"/>
      <c r="D162" s="291"/>
      <c r="E162" s="291"/>
      <c r="F162" s="291"/>
      <c r="G162" s="318"/>
      <c r="H162" s="319"/>
      <c r="I162" s="319"/>
      <c r="J162" s="319"/>
      <c r="K162" s="316"/>
      <c r="L162" s="316"/>
      <c r="M162" s="316"/>
      <c r="N162" s="316"/>
      <c r="O162" s="316"/>
    </row>
    <row r="163" spans="1:15">
      <c r="C163" s="22" t="s">
        <v>65</v>
      </c>
      <c r="H163" s="261">
        <v>-14.1</v>
      </c>
      <c r="I163" s="261">
        <v>-15</v>
      </c>
      <c r="J163" s="261">
        <v>-15.5</v>
      </c>
      <c r="K163" s="596">
        <f>-Assumptions!G$53</f>
        <v>-16</v>
      </c>
      <c r="L163" s="596">
        <f>-Assumptions!H$53</f>
        <v>-17</v>
      </c>
      <c r="M163" s="596">
        <f>-Assumptions!I$53</f>
        <v>-17.34</v>
      </c>
      <c r="N163" s="596">
        <f>-Assumptions!J$53</f>
        <v>-17.773499999999999</v>
      </c>
      <c r="O163" s="596">
        <f>-Assumptions!K$53</f>
        <v>-18.217837499999998</v>
      </c>
    </row>
    <row r="164" spans="1:15">
      <c r="C164" s="22" t="s">
        <v>14</v>
      </c>
      <c r="H164" s="261">
        <v>0</v>
      </c>
      <c r="I164" s="261">
        <v>0</v>
      </c>
      <c r="J164" s="261">
        <v>0</v>
      </c>
      <c r="K164" s="262">
        <f>J164</f>
        <v>0</v>
      </c>
      <c r="L164" s="262">
        <f>K164</f>
        <v>0</v>
      </c>
      <c r="M164" s="262">
        <f>L164</f>
        <v>0</v>
      </c>
      <c r="N164" s="262">
        <f>M164</f>
        <v>0</v>
      </c>
      <c r="O164" s="262">
        <f>N164</f>
        <v>0</v>
      </c>
    </row>
    <row r="165" spans="1:15">
      <c r="A165" s="234"/>
      <c r="C165" s="234" t="s">
        <v>151</v>
      </c>
      <c r="F165" s="22"/>
      <c r="G165" s="270"/>
      <c r="H165" s="579">
        <v>-14.1</v>
      </c>
      <c r="I165" s="579">
        <v>-15</v>
      </c>
      <c r="J165" s="579">
        <v>-15.5</v>
      </c>
      <c r="K165" s="320">
        <f t="shared" ref="K165:O165" si="66">SUM(K163:K164)</f>
        <v>-16</v>
      </c>
      <c r="L165" s="320">
        <f t="shared" si="66"/>
        <v>-17</v>
      </c>
      <c r="M165" s="320">
        <f t="shared" si="66"/>
        <v>-17.34</v>
      </c>
      <c r="N165" s="320">
        <f t="shared" si="66"/>
        <v>-17.773499999999999</v>
      </c>
      <c r="O165" s="320">
        <f t="shared" si="66"/>
        <v>-18.217837499999998</v>
      </c>
    </row>
    <row r="166" spans="1:15">
      <c r="A166" s="234"/>
      <c r="B166" s="84"/>
      <c r="F166" s="22"/>
      <c r="G166" s="270"/>
      <c r="H166" s="321"/>
      <c r="I166" s="321"/>
      <c r="J166" s="322"/>
      <c r="K166" s="323"/>
      <c r="L166" s="323"/>
      <c r="M166" s="323"/>
      <c r="N166" s="323"/>
      <c r="O166" s="323"/>
    </row>
    <row r="167" spans="1:15">
      <c r="A167" s="234"/>
      <c r="B167" s="84"/>
      <c r="F167" s="22"/>
      <c r="G167" s="270"/>
      <c r="H167" s="321"/>
      <c r="I167" s="321"/>
      <c r="J167" s="321"/>
      <c r="K167" s="323"/>
      <c r="L167" s="323"/>
      <c r="M167" s="323"/>
      <c r="N167" s="323"/>
      <c r="O167" s="323"/>
    </row>
    <row r="168" spans="1:15">
      <c r="A168" s="234"/>
      <c r="B168" s="84" t="s">
        <v>84</v>
      </c>
      <c r="F168" s="22"/>
      <c r="G168" s="270"/>
      <c r="H168" s="324"/>
      <c r="I168" s="324"/>
      <c r="J168" s="324"/>
      <c r="K168" s="325"/>
      <c r="L168" s="325"/>
      <c r="M168" s="325"/>
      <c r="N168" s="325"/>
      <c r="O168" s="325"/>
    </row>
    <row r="169" spans="1:15">
      <c r="A169" s="234"/>
      <c r="B169" s="84"/>
      <c r="C169" s="22" t="s">
        <v>197</v>
      </c>
      <c r="F169" s="22"/>
      <c r="G169" s="270"/>
      <c r="H169" s="324"/>
      <c r="I169" s="324"/>
      <c r="J169" s="324"/>
      <c r="K169" s="546">
        <f>K351</f>
        <v>0.94204637428963789</v>
      </c>
      <c r="L169" s="546">
        <f t="shared" ref="L169:O169" si="67">L351</f>
        <v>5.9539270169397565</v>
      </c>
      <c r="M169" s="546">
        <f t="shared" si="67"/>
        <v>-5.655466538159045</v>
      </c>
      <c r="N169" s="546">
        <f t="shared" si="67"/>
        <v>-1.2405068530703494</v>
      </c>
      <c r="O169" s="546">
        <f t="shared" si="67"/>
        <v>0</v>
      </c>
    </row>
    <row r="170" spans="1:15">
      <c r="A170" s="234"/>
      <c r="B170" s="84"/>
      <c r="C170" s="22" t="s">
        <v>198</v>
      </c>
      <c r="F170" s="22"/>
      <c r="G170" s="270"/>
      <c r="H170" s="324"/>
      <c r="I170" s="324"/>
      <c r="J170" s="324"/>
      <c r="K170" s="546">
        <f>K360</f>
        <v>-25</v>
      </c>
      <c r="L170" s="546">
        <f t="shared" ref="L170:O170" si="68">L360</f>
        <v>-25</v>
      </c>
      <c r="M170" s="546">
        <f t="shared" si="68"/>
        <v>-25</v>
      </c>
      <c r="N170" s="546">
        <f t="shared" si="68"/>
        <v>-25</v>
      </c>
      <c r="O170" s="546">
        <f t="shared" si="68"/>
        <v>-25</v>
      </c>
    </row>
    <row r="171" spans="1:15">
      <c r="A171" s="234"/>
      <c r="B171" s="84"/>
      <c r="C171" s="22" t="s">
        <v>174</v>
      </c>
      <c r="F171" s="22"/>
      <c r="G171" s="270"/>
      <c r="H171" s="324"/>
      <c r="I171" s="324"/>
      <c r="J171" s="324"/>
      <c r="K171" s="546">
        <f>K380</f>
        <v>0</v>
      </c>
      <c r="L171" s="546">
        <f t="shared" ref="L171:O171" si="69">L380</f>
        <v>0</v>
      </c>
      <c r="M171" s="546">
        <f t="shared" si="69"/>
        <v>0</v>
      </c>
      <c r="N171" s="546">
        <f t="shared" si="69"/>
        <v>0</v>
      </c>
      <c r="O171" s="546">
        <f t="shared" si="69"/>
        <v>0</v>
      </c>
    </row>
    <row r="172" spans="1:15">
      <c r="A172" s="234"/>
      <c r="B172" s="84"/>
      <c r="C172" s="22" t="s">
        <v>175</v>
      </c>
      <c r="F172" s="22"/>
      <c r="G172" s="270"/>
      <c r="H172" s="324"/>
      <c r="I172" s="324"/>
      <c r="J172" s="324"/>
      <c r="K172" s="546">
        <f>-K385</f>
        <v>-4.6131329316666614</v>
      </c>
      <c r="L172" s="546">
        <f t="shared" ref="L172:O172" si="70">-L385</f>
        <v>-3.1697955618748481</v>
      </c>
      <c r="M172" s="546">
        <f t="shared" si="70"/>
        <v>-8.259402356213899</v>
      </c>
      <c r="N172" s="546">
        <f t="shared" si="70"/>
        <v>-7.5636011049095915</v>
      </c>
      <c r="O172" s="546">
        <f t="shared" si="70"/>
        <v>-8.1054399036190148</v>
      </c>
    </row>
    <row r="173" spans="1:15">
      <c r="A173" s="234"/>
      <c r="B173" s="84"/>
      <c r="C173" s="234" t="s">
        <v>152</v>
      </c>
      <c r="F173" s="22"/>
      <c r="G173" s="270"/>
      <c r="H173" s="324"/>
      <c r="I173" s="324"/>
      <c r="J173" s="324"/>
      <c r="K173" s="553">
        <f>SUM(K169:K172)</f>
        <v>-28.671086557377023</v>
      </c>
      <c r="L173" s="553">
        <f t="shared" ref="L173:O173" si="71">SUM(L169:L172)</f>
        <v>-22.215868544935091</v>
      </c>
      <c r="M173" s="553">
        <f t="shared" si="71"/>
        <v>-38.914868894372944</v>
      </c>
      <c r="N173" s="553">
        <f t="shared" si="71"/>
        <v>-33.804107957979944</v>
      </c>
      <c r="O173" s="553">
        <f t="shared" si="71"/>
        <v>-33.105439903619015</v>
      </c>
    </row>
    <row r="174" spans="1:15">
      <c r="A174" s="234"/>
      <c r="B174" s="84"/>
      <c r="F174" s="22"/>
      <c r="G174" s="270"/>
      <c r="H174" s="324"/>
      <c r="I174" s="324"/>
      <c r="J174" s="324"/>
      <c r="K174" s="324"/>
      <c r="L174" s="324"/>
      <c r="M174" s="324"/>
      <c r="N174" s="324"/>
      <c r="O174" s="324"/>
    </row>
    <row r="175" spans="1:15">
      <c r="A175" s="234"/>
      <c r="C175" s="217"/>
      <c r="F175" s="22"/>
      <c r="G175" s="270"/>
      <c r="H175" s="324"/>
      <c r="I175" s="324"/>
      <c r="J175" s="324"/>
      <c r="K175" s="324"/>
      <c r="L175" s="324"/>
      <c r="M175" s="324"/>
      <c r="N175" s="324"/>
      <c r="O175" s="324"/>
    </row>
    <row r="176" spans="1:15">
      <c r="A176" s="234"/>
      <c r="B176" s="326" t="s">
        <v>66</v>
      </c>
      <c r="C176" s="327"/>
      <c r="D176" s="298"/>
      <c r="E176" s="298"/>
      <c r="F176" s="298"/>
      <c r="G176" s="328"/>
      <c r="H176" s="329"/>
      <c r="I176" s="329"/>
      <c r="J176" s="329"/>
      <c r="K176" s="612">
        <f>K159+K165+K173</f>
        <v>0</v>
      </c>
      <c r="L176" s="612">
        <f t="shared" ref="L176:O176" si="72">L159+L165+L173</f>
        <v>0</v>
      </c>
      <c r="M176" s="612">
        <f t="shared" si="72"/>
        <v>0</v>
      </c>
      <c r="N176" s="612">
        <f t="shared" si="72"/>
        <v>3.1647771663847024</v>
      </c>
      <c r="O176" s="612">
        <f t="shared" si="72"/>
        <v>9.0148125545314173</v>
      </c>
    </row>
    <row r="177" spans="1:15">
      <c r="A177" s="234"/>
      <c r="B177" s="34" t="s">
        <v>67</v>
      </c>
      <c r="C177" s="330"/>
      <c r="D177" s="18"/>
      <c r="E177" s="18"/>
      <c r="F177" s="18"/>
      <c r="G177" s="270"/>
      <c r="H177" s="270"/>
      <c r="I177" s="270"/>
      <c r="J177" s="270"/>
      <c r="K177" s="613">
        <f>J178</f>
        <v>0</v>
      </c>
      <c r="L177" s="613">
        <f t="shared" ref="L177:O177" si="73">K178</f>
        <v>0</v>
      </c>
      <c r="M177" s="613">
        <f t="shared" si="73"/>
        <v>0</v>
      </c>
      <c r="N177" s="613">
        <f t="shared" si="73"/>
        <v>0</v>
      </c>
      <c r="O177" s="613">
        <f t="shared" si="73"/>
        <v>3.1647771663847024</v>
      </c>
    </row>
    <row r="178" spans="1:15">
      <c r="A178" s="234"/>
      <c r="B178" s="331" t="s">
        <v>68</v>
      </c>
      <c r="C178" s="275"/>
      <c r="D178" s="41"/>
      <c r="E178" s="41"/>
      <c r="F178" s="41"/>
      <c r="G178" s="278"/>
      <c r="H178" s="332"/>
      <c r="I178" s="332"/>
      <c r="J178" s="264">
        <v>0</v>
      </c>
      <c r="K178" s="599">
        <f>K176+K177</f>
        <v>0</v>
      </c>
      <c r="L178" s="599">
        <f t="shared" ref="L178:O178" si="74">L176+L177</f>
        <v>0</v>
      </c>
      <c r="M178" s="599">
        <f t="shared" si="74"/>
        <v>0</v>
      </c>
      <c r="N178" s="599">
        <f t="shared" si="74"/>
        <v>3.1647771663847024</v>
      </c>
      <c r="O178" s="599">
        <f t="shared" si="74"/>
        <v>12.17958972091612</v>
      </c>
    </row>
    <row r="179" spans="1:15">
      <c r="A179" s="234"/>
      <c r="B179" s="32"/>
      <c r="C179" s="330"/>
      <c r="D179" s="18"/>
      <c r="E179" s="18"/>
      <c r="F179" s="18"/>
      <c r="G179" s="270"/>
      <c r="H179" s="267"/>
      <c r="I179" s="267"/>
      <c r="J179" s="267"/>
      <c r="K179" s="267"/>
      <c r="L179" s="267"/>
      <c r="M179" s="267"/>
      <c r="N179" s="267"/>
      <c r="O179" s="267"/>
    </row>
    <row r="180" spans="1:15">
      <c r="B180" s="41"/>
      <c r="C180" s="41"/>
      <c r="D180" s="41"/>
      <c r="E180" s="41"/>
      <c r="F180" s="41"/>
      <c r="G180" s="41"/>
      <c r="H180" s="41"/>
      <c r="I180" s="41"/>
      <c r="J180" s="41"/>
      <c r="K180" s="41"/>
      <c r="L180" s="41"/>
      <c r="M180" s="41"/>
      <c r="N180" s="41"/>
      <c r="O180" s="41"/>
    </row>
    <row r="181" spans="1:15">
      <c r="B181" s="18"/>
      <c r="C181" s="18"/>
      <c r="D181" s="18"/>
      <c r="E181" s="18"/>
      <c r="F181" s="18"/>
      <c r="G181" s="18"/>
      <c r="H181" s="18"/>
      <c r="I181" s="18"/>
      <c r="J181" s="18"/>
      <c r="K181" s="18"/>
      <c r="L181" s="18"/>
      <c r="M181" s="18"/>
      <c r="N181" s="18"/>
      <c r="O181" s="18"/>
    </row>
    <row r="182" spans="1:15">
      <c r="B182" s="18"/>
      <c r="C182" s="18"/>
      <c r="D182" s="18"/>
      <c r="E182" s="18"/>
      <c r="F182" s="18"/>
      <c r="G182" s="18"/>
      <c r="H182" s="18"/>
      <c r="I182" s="18"/>
      <c r="J182" s="18"/>
      <c r="K182" s="18"/>
      <c r="L182" s="18"/>
      <c r="M182" s="18"/>
      <c r="N182" s="18"/>
      <c r="O182" s="18"/>
    </row>
    <row r="183" spans="1:15" ht="12.75" customHeight="1">
      <c r="B183" s="19"/>
      <c r="C183" s="21"/>
      <c r="D183" s="21"/>
      <c r="E183" s="21"/>
      <c r="F183" s="21"/>
      <c r="G183" s="21"/>
      <c r="H183" s="21"/>
      <c r="I183" s="21"/>
      <c r="J183" s="21"/>
      <c r="K183" s="21"/>
      <c r="L183" s="21"/>
      <c r="M183" s="21"/>
      <c r="N183" s="21"/>
      <c r="O183" s="247" t="str">
        <f>O147</f>
        <v>currently running: Base Case scenario mofo</v>
      </c>
    </row>
    <row r="184" spans="1:15" ht="23.25">
      <c r="B184" s="19" t="str">
        <f>B2</f>
        <v>Your Company Name</v>
      </c>
      <c r="C184" s="21"/>
      <c r="D184" s="21"/>
      <c r="E184" s="21"/>
      <c r="F184" s="21"/>
      <c r="G184" s="21"/>
      <c r="H184" s="21"/>
      <c r="I184" s="21"/>
      <c r="J184" s="21"/>
      <c r="K184" s="21"/>
      <c r="L184" s="21"/>
      <c r="M184" s="21"/>
      <c r="N184" s="21"/>
      <c r="O184" s="21"/>
    </row>
    <row r="185" spans="1:15" ht="18.75">
      <c r="B185" s="196" t="s">
        <v>153</v>
      </c>
      <c r="C185" s="24"/>
      <c r="D185" s="24"/>
      <c r="E185" s="24"/>
      <c r="F185" s="24"/>
      <c r="G185" s="24"/>
      <c r="H185" s="24"/>
      <c r="I185" s="24"/>
      <c r="J185" s="24"/>
      <c r="K185" s="24"/>
      <c r="L185" s="24"/>
      <c r="M185" s="24"/>
      <c r="N185" s="24"/>
      <c r="O185" s="24"/>
    </row>
    <row r="186" spans="1:15" ht="6" customHeight="1" thickBot="1">
      <c r="B186" s="199"/>
      <c r="C186" s="308"/>
      <c r="D186" s="308"/>
      <c r="E186" s="308"/>
      <c r="F186" s="308"/>
      <c r="G186" s="308"/>
      <c r="H186" s="308"/>
      <c r="I186" s="308"/>
      <c r="J186" s="308"/>
      <c r="K186" s="308"/>
      <c r="L186" s="308"/>
      <c r="M186" s="308"/>
      <c r="N186" s="308"/>
      <c r="O186" s="308"/>
    </row>
    <row r="187" spans="1:15">
      <c r="B187" s="309" t="s">
        <v>219</v>
      </c>
      <c r="F187" s="22"/>
      <c r="O187" s="32"/>
    </row>
    <row r="188" spans="1:15">
      <c r="F188" s="22"/>
      <c r="H188" s="333"/>
      <c r="I188" s="333"/>
      <c r="J188" s="333"/>
      <c r="K188" s="204" t="s">
        <v>5</v>
      </c>
      <c r="L188" s="62"/>
      <c r="M188" s="62"/>
      <c r="N188" s="62"/>
      <c r="O188" s="62"/>
    </row>
    <row r="189" spans="1:15">
      <c r="B189" s="334"/>
      <c r="F189" s="335"/>
      <c r="G189" s="312"/>
      <c r="H189" s="248"/>
      <c r="I189" s="248"/>
      <c r="J189" s="249">
        <f>J7</f>
        <v>2019</v>
      </c>
      <c r="K189" s="313">
        <f>K$7</f>
        <v>2020</v>
      </c>
      <c r="L189" s="313">
        <f>L$7</f>
        <v>2021</v>
      </c>
      <c r="M189" s="313">
        <f>M$7</f>
        <v>2022</v>
      </c>
      <c r="N189" s="313">
        <f>N$7</f>
        <v>2023</v>
      </c>
      <c r="O189" s="313">
        <f>O$7</f>
        <v>2024</v>
      </c>
    </row>
    <row r="190" spans="1:15">
      <c r="B190" s="334"/>
      <c r="F190" s="18"/>
      <c r="G190" s="312"/>
      <c r="H190" s="335"/>
      <c r="I190" s="335"/>
      <c r="J190" s="313"/>
      <c r="K190" s="313"/>
      <c r="L190" s="313"/>
      <c r="M190" s="313"/>
      <c r="N190" s="313"/>
      <c r="O190" s="313"/>
    </row>
    <row r="191" spans="1:15">
      <c r="B191" s="234" t="s">
        <v>16</v>
      </c>
      <c r="F191" s="18"/>
      <c r="H191" s="18"/>
      <c r="I191" s="18"/>
    </row>
    <row r="192" spans="1:15">
      <c r="C192" s="22" t="s">
        <v>17</v>
      </c>
      <c r="F192" s="216"/>
      <c r="G192" s="317"/>
      <c r="H192" s="317"/>
      <c r="I192" s="317"/>
      <c r="J192" s="336">
        <v>0</v>
      </c>
      <c r="K192" s="546">
        <f>K178</f>
        <v>0</v>
      </c>
      <c r="L192" s="546">
        <f t="shared" ref="L192:O192" si="75">L178</f>
        <v>0</v>
      </c>
      <c r="M192" s="546">
        <f t="shared" si="75"/>
        <v>0</v>
      </c>
      <c r="N192" s="546">
        <f t="shared" si="75"/>
        <v>3.1647771663847024</v>
      </c>
      <c r="O192" s="546">
        <f t="shared" si="75"/>
        <v>12.17958972091612</v>
      </c>
    </row>
    <row r="193" spans="2:15">
      <c r="C193" s="22" t="s">
        <v>18</v>
      </c>
      <c r="F193" s="216"/>
      <c r="G193" s="317"/>
      <c r="H193" s="317"/>
      <c r="I193" s="317"/>
      <c r="J193" s="336">
        <v>28.3</v>
      </c>
      <c r="K193" s="546">
        <f>K315</f>
        <v>29.255108606557371</v>
      </c>
      <c r="L193" s="546">
        <f t="shared" ref="L193:O193" si="76">L315</f>
        <v>25.855876994893151</v>
      </c>
      <c r="M193" s="546">
        <f t="shared" si="76"/>
        <v>30.246878778903643</v>
      </c>
      <c r="N193" s="546">
        <f t="shared" si="76"/>
        <v>30.67432643281542</v>
      </c>
      <c r="O193" s="546">
        <f t="shared" si="76"/>
        <v>31.771675785901646</v>
      </c>
    </row>
    <row r="194" spans="2:15">
      <c r="C194" s="22" t="s">
        <v>19</v>
      </c>
      <c r="F194" s="216"/>
      <c r="G194" s="317"/>
      <c r="H194" s="317"/>
      <c r="I194" s="317"/>
      <c r="J194" s="336">
        <v>35.1</v>
      </c>
      <c r="K194" s="546">
        <f>K316</f>
        <v>33.46483545081967</v>
      </c>
      <c r="L194" s="546">
        <f t="shared" ref="L194:O194" si="77">L316</f>
        <v>32.554973629972601</v>
      </c>
      <c r="M194" s="546">
        <f t="shared" si="77"/>
        <v>31.407854419565066</v>
      </c>
      <c r="N194" s="546">
        <f t="shared" si="77"/>
        <v>32.999047658379645</v>
      </c>
      <c r="O194" s="546">
        <f t="shared" si="77"/>
        <v>31.436252410389336</v>
      </c>
    </row>
    <row r="195" spans="2:15">
      <c r="C195" s="85" t="s">
        <v>14</v>
      </c>
      <c r="F195" s="216"/>
      <c r="G195" s="317"/>
      <c r="H195" s="317"/>
      <c r="I195" s="317"/>
      <c r="J195" s="264">
        <v>1.5</v>
      </c>
      <c r="K195" s="547">
        <f>J195</f>
        <v>1.5</v>
      </c>
      <c r="L195" s="547">
        <f t="shared" ref="L195:O195" si="78">K195</f>
        <v>1.5</v>
      </c>
      <c r="M195" s="547">
        <f t="shared" si="78"/>
        <v>1.5</v>
      </c>
      <c r="N195" s="547">
        <f t="shared" si="78"/>
        <v>1.5</v>
      </c>
      <c r="O195" s="547">
        <f t="shared" si="78"/>
        <v>1.5</v>
      </c>
    </row>
    <row r="196" spans="2:15">
      <c r="C196" s="217" t="s">
        <v>20</v>
      </c>
      <c r="F196" s="237"/>
      <c r="G196" s="267"/>
      <c r="H196" s="267"/>
      <c r="I196" s="267"/>
      <c r="J196" s="574">
        <v>64.900000000000006</v>
      </c>
      <c r="K196" s="546">
        <f>SUM(K192:K195)</f>
        <v>64.219944057377035</v>
      </c>
      <c r="L196" s="546">
        <f t="shared" ref="L196:O196" si="79">SUM(L192:L195)</f>
        <v>59.910850624865752</v>
      </c>
      <c r="M196" s="546">
        <f t="shared" si="79"/>
        <v>63.154733198468705</v>
      </c>
      <c r="N196" s="546">
        <f t="shared" si="79"/>
        <v>68.338151257579767</v>
      </c>
      <c r="O196" s="546">
        <f t="shared" si="79"/>
        <v>76.887517917207106</v>
      </c>
    </row>
    <row r="197" spans="2:15">
      <c r="F197" s="267"/>
      <c r="G197" s="314"/>
      <c r="H197" s="267"/>
      <c r="I197" s="267"/>
      <c r="J197" s="337"/>
      <c r="K197" s="337"/>
      <c r="L197" s="337"/>
      <c r="M197" s="337"/>
      <c r="N197" s="337"/>
      <c r="O197" s="337"/>
    </row>
    <row r="198" spans="2:15">
      <c r="C198" s="22" t="s">
        <v>21</v>
      </c>
      <c r="F198" s="216"/>
      <c r="G198" s="317"/>
      <c r="H198" s="317"/>
      <c r="I198" s="317"/>
      <c r="J198" s="336">
        <v>397.7</v>
      </c>
      <c r="K198" s="546">
        <f>J198-K163-K156</f>
        <v>397.52533333333332</v>
      </c>
      <c r="L198" s="546">
        <f t="shared" ref="L198:O198" si="80">K198-L163-L156</f>
        <v>397.80066666666664</v>
      </c>
      <c r="M198" s="546">
        <f t="shared" si="80"/>
        <v>397.84366666666659</v>
      </c>
      <c r="N198" s="546">
        <f t="shared" si="80"/>
        <v>397.7349416666666</v>
      </c>
      <c r="O198" s="546">
        <f t="shared" si="80"/>
        <v>397.47069854166659</v>
      </c>
    </row>
    <row r="199" spans="2:15">
      <c r="C199" s="85" t="s">
        <v>14</v>
      </c>
      <c r="F199" s="216"/>
      <c r="G199" s="317"/>
      <c r="H199" s="317"/>
      <c r="I199" s="317"/>
      <c r="J199" s="336">
        <v>0</v>
      </c>
      <c r="K199" s="546">
        <f>J199</f>
        <v>0</v>
      </c>
      <c r="L199" s="546">
        <f t="shared" ref="L199:O199" si="81">K199</f>
        <v>0</v>
      </c>
      <c r="M199" s="546">
        <f t="shared" si="81"/>
        <v>0</v>
      </c>
      <c r="N199" s="546">
        <f t="shared" si="81"/>
        <v>0</v>
      </c>
      <c r="O199" s="546">
        <f t="shared" si="81"/>
        <v>0</v>
      </c>
    </row>
    <row r="200" spans="2:15" ht="13.5" thickBot="1">
      <c r="C200" s="234" t="s">
        <v>22</v>
      </c>
      <c r="F200" s="237"/>
      <c r="G200" s="270"/>
      <c r="H200" s="338"/>
      <c r="I200" s="338"/>
      <c r="J200" s="566">
        <v>462.6</v>
      </c>
      <c r="K200" s="549">
        <f>K198+K199+K196</f>
        <v>461.74527739071038</v>
      </c>
      <c r="L200" s="549">
        <f t="shared" ref="L200:O200" si="82">L198+L199+L196</f>
        <v>457.7115172915324</v>
      </c>
      <c r="M200" s="549">
        <f t="shared" si="82"/>
        <v>460.9983998651353</v>
      </c>
      <c r="N200" s="549">
        <f t="shared" si="82"/>
        <v>466.07309292424634</v>
      </c>
      <c r="O200" s="549">
        <f t="shared" si="82"/>
        <v>474.3582164588737</v>
      </c>
    </row>
    <row r="201" spans="2:15" ht="13.5" thickTop="1">
      <c r="F201" s="267"/>
      <c r="G201" s="314"/>
      <c r="H201" s="267"/>
      <c r="I201" s="267"/>
      <c r="J201" s="314"/>
      <c r="K201" s="314"/>
      <c r="L201" s="314"/>
      <c r="M201" s="314"/>
      <c r="N201" s="314"/>
      <c r="O201" s="314"/>
    </row>
    <row r="202" spans="2:15">
      <c r="F202" s="267"/>
      <c r="G202" s="314"/>
      <c r="H202" s="267"/>
      <c r="I202" s="267"/>
      <c r="J202" s="314"/>
      <c r="K202" s="314"/>
      <c r="L202" s="314"/>
      <c r="M202" s="314"/>
      <c r="N202" s="314"/>
      <c r="O202" s="314"/>
    </row>
    <row r="203" spans="2:15">
      <c r="B203" s="217" t="s">
        <v>23</v>
      </c>
      <c r="F203" s="267"/>
      <c r="G203" s="314"/>
      <c r="H203" s="267"/>
      <c r="I203" s="267"/>
      <c r="J203" s="314"/>
      <c r="K203" s="314"/>
      <c r="L203" s="314"/>
      <c r="M203" s="314"/>
      <c r="N203" s="314"/>
      <c r="O203" s="314"/>
    </row>
    <row r="204" spans="2:15">
      <c r="C204" s="85" t="s">
        <v>203</v>
      </c>
      <c r="F204" s="216"/>
      <c r="G204" s="317"/>
      <c r="H204" s="317"/>
      <c r="I204" s="317"/>
      <c r="J204" s="336">
        <v>0</v>
      </c>
      <c r="K204" s="546">
        <f>K352</f>
        <v>0.94204637428963789</v>
      </c>
      <c r="L204" s="546">
        <f t="shared" ref="L204:O204" si="83">L352</f>
        <v>6.8959733912293943</v>
      </c>
      <c r="M204" s="546">
        <f t="shared" si="83"/>
        <v>1.2405068530703494</v>
      </c>
      <c r="N204" s="546">
        <f t="shared" si="83"/>
        <v>0</v>
      </c>
      <c r="O204" s="546">
        <f t="shared" si="83"/>
        <v>0</v>
      </c>
    </row>
    <row r="205" spans="2:15">
      <c r="C205" s="85" t="s">
        <v>24</v>
      </c>
      <c r="F205" s="216"/>
      <c r="G205" s="317"/>
      <c r="H205" s="317"/>
      <c r="I205" s="317"/>
      <c r="J205" s="261">
        <v>18.2</v>
      </c>
      <c r="K205" s="550">
        <f>K317</f>
        <v>19.122763114754097</v>
      </c>
      <c r="L205" s="550">
        <f t="shared" ref="L205:O205" si="84">L317</f>
        <v>20.033829926136985</v>
      </c>
      <c r="M205" s="550">
        <f t="shared" si="84"/>
        <v>20.938569613043377</v>
      </c>
      <c r="N205" s="550">
        <f t="shared" si="84"/>
        <v>21.999365105586431</v>
      </c>
      <c r="O205" s="550">
        <f t="shared" si="84"/>
        <v>22.8627290257377</v>
      </c>
    </row>
    <row r="206" spans="2:15">
      <c r="C206" s="85" t="s">
        <v>14</v>
      </c>
      <c r="F206" s="216"/>
      <c r="G206" s="317"/>
      <c r="H206" s="317"/>
      <c r="I206" s="317"/>
      <c r="J206" s="264">
        <v>4.8</v>
      </c>
      <c r="K206" s="547">
        <f>J206</f>
        <v>4.8</v>
      </c>
      <c r="L206" s="547">
        <f t="shared" ref="L206:O206" si="85">K206</f>
        <v>4.8</v>
      </c>
      <c r="M206" s="547">
        <f t="shared" si="85"/>
        <v>4.8</v>
      </c>
      <c r="N206" s="547">
        <f t="shared" si="85"/>
        <v>4.8</v>
      </c>
      <c r="O206" s="547">
        <f t="shared" si="85"/>
        <v>4.8</v>
      </c>
    </row>
    <row r="207" spans="2:15">
      <c r="C207" s="217" t="s">
        <v>25</v>
      </c>
      <c r="F207" s="237"/>
      <c r="G207" s="267"/>
      <c r="H207" s="267"/>
      <c r="I207" s="267"/>
      <c r="J207" s="564">
        <v>23</v>
      </c>
      <c r="K207" s="550">
        <f>SUM(K204:K206)</f>
        <v>24.864809489043736</v>
      </c>
      <c r="L207" s="550">
        <f t="shared" ref="L207:O207" si="86">SUM(L204:L206)</f>
        <v>31.729803317366379</v>
      </c>
      <c r="M207" s="550">
        <f t="shared" si="86"/>
        <v>26.979076466113728</v>
      </c>
      <c r="N207" s="550">
        <f t="shared" si="86"/>
        <v>26.799365105586432</v>
      </c>
      <c r="O207" s="550">
        <f t="shared" si="86"/>
        <v>27.662729025737701</v>
      </c>
    </row>
    <row r="208" spans="2:15">
      <c r="F208" s="267"/>
      <c r="G208" s="314"/>
      <c r="H208" s="267"/>
      <c r="I208" s="267"/>
      <c r="J208" s="314"/>
      <c r="K208" s="314"/>
      <c r="L208" s="314"/>
      <c r="M208" s="315"/>
      <c r="N208" s="314"/>
      <c r="O208" s="314"/>
    </row>
    <row r="209" spans="2:15">
      <c r="C209" s="4" t="s">
        <v>281</v>
      </c>
      <c r="F209" s="216"/>
      <c r="G209" s="314"/>
      <c r="H209" s="317"/>
      <c r="I209" s="317"/>
      <c r="J209" s="336">
        <v>8</v>
      </c>
      <c r="K209" s="546">
        <f>J209+K281</f>
        <v>11.827936174999993</v>
      </c>
      <c r="L209" s="546">
        <f t="shared" ref="L209:O209" si="87">K209+L281</f>
        <v>13.25</v>
      </c>
      <c r="M209" s="546">
        <f t="shared" si="87"/>
        <v>13.25</v>
      </c>
      <c r="N209" s="546">
        <f t="shared" si="87"/>
        <v>13.25</v>
      </c>
      <c r="O209" s="546">
        <f t="shared" si="87"/>
        <v>13.25</v>
      </c>
    </row>
    <row r="210" spans="2:15">
      <c r="C210" s="85" t="s">
        <v>196</v>
      </c>
      <c r="F210" s="216"/>
      <c r="G210" s="339"/>
      <c r="H210" s="317"/>
      <c r="I210" s="317"/>
      <c r="J210" s="264">
        <v>200</v>
      </c>
      <c r="K210" s="547">
        <f>K361</f>
        <v>175</v>
      </c>
      <c r="L210" s="547">
        <f t="shared" ref="L210:O210" si="88">L361</f>
        <v>150</v>
      </c>
      <c r="M210" s="547">
        <f t="shared" si="88"/>
        <v>125</v>
      </c>
      <c r="N210" s="547">
        <f t="shared" si="88"/>
        <v>100</v>
      </c>
      <c r="O210" s="547">
        <f t="shared" si="88"/>
        <v>75</v>
      </c>
    </row>
    <row r="211" spans="2:15">
      <c r="C211" s="84" t="s">
        <v>26</v>
      </c>
      <c r="F211" s="237"/>
      <c r="G211" s="317"/>
      <c r="H211" s="267"/>
      <c r="I211" s="267"/>
      <c r="J211" s="574">
        <v>208</v>
      </c>
      <c r="K211" s="546">
        <f>SUM(K209:K210)</f>
        <v>186.82793617499999</v>
      </c>
      <c r="L211" s="546">
        <f t="shared" ref="L211:O211" si="89">SUM(L209:L210)</f>
        <v>163.25</v>
      </c>
      <c r="M211" s="546">
        <f t="shared" si="89"/>
        <v>138.25</v>
      </c>
      <c r="N211" s="546">
        <f t="shared" si="89"/>
        <v>113.25</v>
      </c>
      <c r="O211" s="546">
        <f t="shared" si="89"/>
        <v>88.25</v>
      </c>
    </row>
    <row r="212" spans="2:15">
      <c r="C212" s="217"/>
      <c r="F212" s="267"/>
      <c r="G212" s="314"/>
      <c r="H212" s="267"/>
      <c r="I212" s="267"/>
      <c r="J212" s="314"/>
      <c r="K212" s="314"/>
      <c r="L212" s="314"/>
      <c r="M212" s="314"/>
      <c r="N212" s="314"/>
      <c r="O212" s="314"/>
    </row>
    <row r="213" spans="2:15">
      <c r="C213" s="84" t="s">
        <v>27</v>
      </c>
      <c r="F213" s="237"/>
      <c r="G213" s="270"/>
      <c r="H213" s="270"/>
      <c r="I213" s="270"/>
      <c r="J213" s="563">
        <v>231</v>
      </c>
      <c r="K213" s="551">
        <f>K207+K211</f>
        <v>211.69274566404374</v>
      </c>
      <c r="L213" s="551">
        <f t="shared" ref="L213:O213" si="90">L207+L211</f>
        <v>194.97980331736639</v>
      </c>
      <c r="M213" s="551">
        <f t="shared" si="90"/>
        <v>165.22907646611372</v>
      </c>
      <c r="N213" s="551">
        <f t="shared" si="90"/>
        <v>140.04936510558645</v>
      </c>
      <c r="O213" s="551">
        <f t="shared" si="90"/>
        <v>115.9127290257377</v>
      </c>
    </row>
    <row r="214" spans="2:15">
      <c r="F214" s="267"/>
      <c r="G214" s="267"/>
      <c r="H214" s="267"/>
      <c r="I214" s="267"/>
      <c r="J214" s="314"/>
      <c r="K214" s="314"/>
      <c r="L214" s="314"/>
      <c r="M214" s="314"/>
      <c r="N214" s="314"/>
      <c r="O214" s="314"/>
    </row>
    <row r="215" spans="2:15">
      <c r="C215" s="22" t="s">
        <v>166</v>
      </c>
      <c r="F215" s="216"/>
      <c r="G215" s="267"/>
      <c r="H215" s="267"/>
      <c r="I215" s="267"/>
      <c r="J215" s="336">
        <v>120</v>
      </c>
      <c r="K215" s="546">
        <f>K381</f>
        <v>120</v>
      </c>
      <c r="L215" s="546">
        <f t="shared" ref="L215:O215" si="91">L381</f>
        <v>120</v>
      </c>
      <c r="M215" s="546">
        <f t="shared" si="91"/>
        <v>120</v>
      </c>
      <c r="N215" s="546">
        <f t="shared" si="91"/>
        <v>120</v>
      </c>
      <c r="O215" s="546">
        <f t="shared" si="91"/>
        <v>120</v>
      </c>
    </row>
    <row r="216" spans="2:15">
      <c r="C216" s="22" t="s">
        <v>169</v>
      </c>
      <c r="F216" s="216"/>
      <c r="G216" s="267"/>
      <c r="H216" s="267"/>
      <c r="I216" s="267"/>
      <c r="J216" s="264">
        <v>111.6</v>
      </c>
      <c r="K216" s="547">
        <f>K392</f>
        <v>130.05253172666664</v>
      </c>
      <c r="L216" s="547">
        <f t="shared" ref="L216:O216" si="92">L392</f>
        <v>142.73171397416604</v>
      </c>
      <c r="M216" s="547">
        <f t="shared" si="92"/>
        <v>175.76932339902163</v>
      </c>
      <c r="N216" s="547">
        <f t="shared" si="92"/>
        <v>206.02372781866001</v>
      </c>
      <c r="O216" s="547">
        <f t="shared" si="92"/>
        <v>238.44548743313607</v>
      </c>
    </row>
    <row r="217" spans="2:15">
      <c r="C217" s="217" t="s">
        <v>28</v>
      </c>
      <c r="F217" s="237"/>
      <c r="G217" s="317"/>
      <c r="H217" s="317"/>
      <c r="I217" s="317"/>
      <c r="J217" s="576">
        <v>231.6</v>
      </c>
      <c r="K217" s="552">
        <f>K215+K216</f>
        <v>250.05253172666664</v>
      </c>
      <c r="L217" s="552">
        <f t="shared" ref="L217:O217" si="93">L215+L216</f>
        <v>262.73171397416604</v>
      </c>
      <c r="M217" s="552">
        <f t="shared" si="93"/>
        <v>295.76932339902163</v>
      </c>
      <c r="N217" s="552">
        <f t="shared" si="93"/>
        <v>326.02372781866001</v>
      </c>
      <c r="O217" s="552">
        <f t="shared" si="93"/>
        <v>358.44548743313607</v>
      </c>
    </row>
    <row r="218" spans="2:15">
      <c r="F218" s="267"/>
      <c r="G218" s="267"/>
      <c r="H218" s="267"/>
      <c r="I218" s="267"/>
      <c r="J218" s="314"/>
      <c r="K218" s="314"/>
      <c r="L218" s="314"/>
      <c r="M218" s="314"/>
      <c r="N218" s="314"/>
      <c r="O218" s="314"/>
    </row>
    <row r="219" spans="2:15" ht="13.5" thickBot="1">
      <c r="B219" s="217" t="s">
        <v>29</v>
      </c>
      <c r="F219" s="237"/>
      <c r="G219" s="270"/>
      <c r="H219" s="338"/>
      <c r="I219" s="338"/>
      <c r="J219" s="566">
        <v>462.6</v>
      </c>
      <c r="K219" s="549">
        <f>K213+K217</f>
        <v>461.74527739071038</v>
      </c>
      <c r="L219" s="549">
        <f t="shared" ref="L219:O219" si="94">L213+L217</f>
        <v>457.71151729153246</v>
      </c>
      <c r="M219" s="549">
        <f t="shared" si="94"/>
        <v>460.99839986513535</v>
      </c>
      <c r="N219" s="549">
        <f t="shared" si="94"/>
        <v>466.07309292424645</v>
      </c>
      <c r="O219" s="549">
        <f t="shared" si="94"/>
        <v>474.35821645887376</v>
      </c>
    </row>
    <row r="220" spans="2:15" ht="13.5" thickTop="1">
      <c r="F220" s="340"/>
      <c r="G220" s="340"/>
      <c r="H220" s="340"/>
      <c r="I220" s="340"/>
      <c r="J220" s="227"/>
      <c r="K220" s="227"/>
      <c r="L220" s="227"/>
      <c r="M220" s="227"/>
      <c r="N220" s="227"/>
      <c r="O220" s="227"/>
    </row>
    <row r="221" spans="2:15">
      <c r="B221" s="310"/>
      <c r="D221" s="341" t="s">
        <v>30</v>
      </c>
      <c r="F221" s="342"/>
      <c r="G221" s="342"/>
      <c r="H221" s="342"/>
      <c r="I221" s="342"/>
      <c r="J221" s="343">
        <f t="shared" ref="J221:O221" si="95">J200-J219</f>
        <v>0</v>
      </c>
      <c r="K221" s="343">
        <f t="shared" si="95"/>
        <v>0</v>
      </c>
      <c r="L221" s="343">
        <f t="shared" si="95"/>
        <v>0</v>
      </c>
      <c r="M221" s="343">
        <f t="shared" si="95"/>
        <v>0</v>
      </c>
      <c r="N221" s="343">
        <f t="shared" si="95"/>
        <v>0</v>
      </c>
      <c r="O221" s="343">
        <f t="shared" si="95"/>
        <v>0</v>
      </c>
    </row>
    <row r="222" spans="2:15">
      <c r="B222" s="344"/>
      <c r="C222" s="41"/>
      <c r="D222" s="41"/>
      <c r="E222" s="41"/>
      <c r="F222" s="41"/>
      <c r="G222" s="41"/>
      <c r="H222" s="41"/>
      <c r="I222" s="41"/>
      <c r="J222" s="41"/>
      <c r="K222" s="345"/>
      <c r="L222" s="345"/>
      <c r="M222" s="345"/>
      <c r="N222" s="345"/>
      <c r="O222" s="345"/>
    </row>
    <row r="223" spans="2:15">
      <c r="B223" s="18"/>
      <c r="C223" s="18"/>
      <c r="D223" s="18"/>
      <c r="E223" s="18"/>
      <c r="F223" s="18"/>
      <c r="G223" s="18"/>
      <c r="H223" s="18"/>
      <c r="I223" s="18"/>
      <c r="J223" s="18"/>
      <c r="K223" s="18"/>
      <c r="L223" s="18"/>
      <c r="M223" s="18"/>
      <c r="N223" s="18"/>
      <c r="O223" s="18"/>
    </row>
    <row r="224" spans="2:15">
      <c r="F224" s="22"/>
    </row>
    <row r="225" spans="1:250" ht="12.75" customHeight="1">
      <c r="B225" s="346"/>
      <c r="C225" s="347"/>
      <c r="D225" s="347"/>
      <c r="E225" s="348"/>
      <c r="F225" s="348"/>
      <c r="G225" s="349"/>
      <c r="H225" s="349"/>
      <c r="I225" s="349"/>
      <c r="J225" s="349"/>
      <c r="K225" s="349"/>
      <c r="L225" s="349"/>
      <c r="M225" s="349"/>
      <c r="N225" s="349"/>
      <c r="O225" s="247" t="str">
        <f>O102</f>
        <v>currently running: Base Case scenario mofo</v>
      </c>
    </row>
    <row r="226" spans="1:250" ht="22.7" customHeight="1">
      <c r="B226" s="346" t="str">
        <f>$B$2</f>
        <v>Your Company Name</v>
      </c>
      <c r="C226" s="347"/>
      <c r="D226" s="347"/>
      <c r="E226" s="348"/>
      <c r="F226" s="348"/>
      <c r="G226" s="349"/>
      <c r="H226" s="349"/>
      <c r="I226" s="349"/>
      <c r="J226" s="349"/>
      <c r="K226" s="349"/>
      <c r="L226" s="349"/>
      <c r="M226" s="349"/>
      <c r="N226" s="349"/>
      <c r="O226" s="349"/>
    </row>
    <row r="227" spans="1:250" ht="18.75">
      <c r="B227" s="350" t="s">
        <v>205</v>
      </c>
      <c r="C227" s="350"/>
      <c r="D227" s="350"/>
      <c r="E227" s="351"/>
      <c r="F227" s="351"/>
      <c r="G227" s="350"/>
      <c r="H227" s="350"/>
      <c r="I227" s="350"/>
      <c r="J227" s="350"/>
      <c r="K227" s="350"/>
      <c r="L227" s="350"/>
      <c r="M227" s="350"/>
      <c r="N227" s="350"/>
      <c r="O227" s="350"/>
    </row>
    <row r="228" spans="1:250" ht="6" customHeight="1" thickBot="1">
      <c r="B228" s="26"/>
      <c r="C228" s="26"/>
      <c r="D228" s="26"/>
      <c r="E228" s="352"/>
      <c r="F228" s="352"/>
      <c r="G228" s="26"/>
      <c r="H228" s="26"/>
      <c r="I228" s="26"/>
      <c r="J228" s="26"/>
      <c r="K228" s="26"/>
      <c r="L228" s="26"/>
      <c r="M228" s="26"/>
      <c r="N228" s="26"/>
      <c r="O228" s="26"/>
    </row>
    <row r="229" spans="1:250">
      <c r="B229" s="310" t="s">
        <v>219</v>
      </c>
      <c r="C229" s="310"/>
      <c r="E229" s="202"/>
      <c r="G229" s="310"/>
      <c r="O229" s="18"/>
    </row>
    <row r="230" spans="1:250">
      <c r="C230" s="18"/>
      <c r="D230" s="18"/>
      <c r="E230" s="245"/>
      <c r="F230" s="245"/>
      <c r="G230" s="18"/>
      <c r="K230" s="204" t="s">
        <v>5</v>
      </c>
      <c r="L230" s="353"/>
      <c r="M230" s="353"/>
      <c r="N230" s="353"/>
      <c r="O230" s="353"/>
    </row>
    <row r="231" spans="1:250">
      <c r="C231" s="286"/>
      <c r="D231" s="286"/>
      <c r="E231" s="354"/>
      <c r="F231" s="355"/>
      <c r="G231" s="250"/>
      <c r="H231" s="248">
        <f>H7</f>
        <v>2017</v>
      </c>
      <c r="I231" s="248">
        <f>I7</f>
        <v>2018</v>
      </c>
      <c r="J231" s="249">
        <f>J7</f>
        <v>2019</v>
      </c>
      <c r="K231" s="356">
        <f>K$7</f>
        <v>2020</v>
      </c>
      <c r="L231" s="356">
        <f>L$7</f>
        <v>2021</v>
      </c>
      <c r="M231" s="356">
        <f>M$7</f>
        <v>2022</v>
      </c>
      <c r="N231" s="356">
        <f>N$7</f>
        <v>2023</v>
      </c>
      <c r="O231" s="356">
        <f>O$7</f>
        <v>2024</v>
      </c>
    </row>
    <row r="232" spans="1:250">
      <c r="D232" s="18"/>
      <c r="E232" s="18"/>
      <c r="F232" s="245"/>
    </row>
    <row r="233" spans="1:250" s="362" customFormat="1" ht="13.15" customHeight="1">
      <c r="A233" s="357"/>
      <c r="B233" s="358" t="s">
        <v>261</v>
      </c>
      <c r="C233" s="359"/>
      <c r="D233" s="359"/>
      <c r="E233" s="360"/>
      <c r="F233" s="615">
        <f>Assumptions!H20</f>
        <v>25</v>
      </c>
      <c r="G233" s="361"/>
      <c r="K233" s="363"/>
      <c r="L233" s="364"/>
      <c r="M233" s="364"/>
      <c r="N233" s="364"/>
      <c r="O233" s="22"/>
      <c r="P233" s="365"/>
      <c r="Q233" s="365"/>
      <c r="R233" s="365"/>
      <c r="S233" s="365"/>
      <c r="T233" s="365"/>
      <c r="U233" s="365"/>
      <c r="V233" s="365"/>
      <c r="W233" s="365"/>
      <c r="X233" s="365"/>
      <c r="Y233" s="365"/>
      <c r="Z233" s="365"/>
      <c r="AA233" s="365"/>
      <c r="AB233" s="365"/>
      <c r="AC233" s="365"/>
      <c r="AD233" s="365"/>
      <c r="AE233" s="365"/>
      <c r="AF233" s="365"/>
      <c r="AG233" s="365"/>
      <c r="AH233" s="365"/>
      <c r="AI233" s="365"/>
      <c r="AJ233" s="365"/>
      <c r="AK233" s="365"/>
      <c r="AL233" s="365"/>
      <c r="AM233" s="365"/>
      <c r="AN233" s="365"/>
      <c r="AO233" s="365"/>
      <c r="AP233" s="365"/>
      <c r="AQ233" s="365"/>
      <c r="AR233" s="365"/>
      <c r="AS233" s="365"/>
      <c r="AT233" s="365"/>
      <c r="AU233" s="365"/>
      <c r="AV233" s="365"/>
      <c r="AW233" s="365"/>
      <c r="AX233" s="365"/>
      <c r="AY233" s="365"/>
      <c r="AZ233" s="365"/>
      <c r="BA233" s="365"/>
      <c r="BB233" s="365"/>
      <c r="BC233" s="365"/>
      <c r="BD233" s="365"/>
      <c r="BE233" s="365"/>
      <c r="BF233" s="365"/>
      <c r="BG233" s="365"/>
      <c r="BH233" s="365"/>
      <c r="BI233" s="365"/>
      <c r="BJ233" s="365"/>
      <c r="BK233" s="365"/>
      <c r="BL233" s="365"/>
      <c r="BM233" s="365"/>
      <c r="BN233" s="365"/>
      <c r="BO233" s="365"/>
      <c r="BP233" s="365"/>
      <c r="BQ233" s="365"/>
      <c r="BR233" s="365"/>
      <c r="BS233" s="365"/>
      <c r="BT233" s="365"/>
      <c r="BU233" s="365"/>
      <c r="BV233" s="365"/>
      <c r="BW233" s="365"/>
      <c r="BX233" s="365"/>
      <c r="BY233" s="365"/>
      <c r="BZ233" s="365"/>
      <c r="CA233" s="365"/>
      <c r="CB233" s="365"/>
      <c r="CC233" s="365"/>
      <c r="CD233" s="365"/>
      <c r="CE233" s="365"/>
      <c r="CF233" s="365"/>
      <c r="CG233" s="365"/>
      <c r="CH233" s="365"/>
      <c r="CI233" s="365"/>
      <c r="CJ233" s="365"/>
      <c r="CK233" s="365"/>
      <c r="CL233" s="365"/>
      <c r="CM233" s="365"/>
      <c r="CN233" s="365"/>
      <c r="CO233" s="365"/>
      <c r="CP233" s="365"/>
      <c r="CQ233" s="365"/>
      <c r="CR233" s="365"/>
      <c r="CS233" s="365"/>
      <c r="CT233" s="365"/>
      <c r="CU233" s="365"/>
      <c r="CV233" s="365"/>
      <c r="CW233" s="365"/>
      <c r="CX233" s="365"/>
      <c r="CY233" s="365"/>
      <c r="CZ233" s="365"/>
      <c r="DA233" s="365"/>
      <c r="DB233" s="365"/>
      <c r="DC233" s="365"/>
      <c r="DD233" s="365"/>
      <c r="DE233" s="365"/>
      <c r="DF233" s="365"/>
      <c r="DG233" s="365"/>
      <c r="DH233" s="365"/>
      <c r="DI233" s="365"/>
      <c r="DJ233" s="365"/>
      <c r="DK233" s="365"/>
      <c r="DL233" s="365"/>
      <c r="DM233" s="365"/>
      <c r="DN233" s="365"/>
      <c r="DO233" s="365"/>
      <c r="DP233" s="365"/>
      <c r="DQ233" s="365"/>
      <c r="DR233" s="365"/>
      <c r="DS233" s="365"/>
      <c r="DT233" s="365"/>
      <c r="DU233" s="365"/>
      <c r="DV233" s="365"/>
      <c r="DW233" s="365"/>
      <c r="DX233" s="365"/>
      <c r="DY233" s="365"/>
      <c r="DZ233" s="365"/>
      <c r="EA233" s="365"/>
      <c r="EB233" s="365"/>
      <c r="EC233" s="365"/>
      <c r="ED233" s="365"/>
      <c r="EE233" s="365"/>
      <c r="EF233" s="365"/>
      <c r="EG233" s="365"/>
      <c r="EH233" s="365"/>
      <c r="EI233" s="365"/>
      <c r="EJ233" s="365"/>
      <c r="EK233" s="365"/>
      <c r="EL233" s="365"/>
      <c r="EM233" s="365"/>
      <c r="EN233" s="365"/>
      <c r="EO233" s="365"/>
      <c r="EP233" s="365"/>
      <c r="EQ233" s="365"/>
      <c r="ER233" s="365"/>
      <c r="ES233" s="365"/>
      <c r="ET233" s="365"/>
      <c r="EU233" s="365"/>
      <c r="EV233" s="365"/>
      <c r="EW233" s="365"/>
      <c r="EX233" s="365"/>
      <c r="EY233" s="365"/>
      <c r="EZ233" s="365"/>
      <c r="FA233" s="365"/>
      <c r="FB233" s="365"/>
      <c r="FC233" s="365"/>
      <c r="FD233" s="365"/>
      <c r="FE233" s="365"/>
      <c r="FF233" s="365"/>
      <c r="FG233" s="365"/>
      <c r="FH233" s="365"/>
      <c r="FI233" s="365"/>
      <c r="FJ233" s="365"/>
      <c r="FK233" s="365"/>
      <c r="FL233" s="365"/>
      <c r="FM233" s="365"/>
      <c r="FN233" s="365"/>
      <c r="FO233" s="365"/>
      <c r="FP233" s="365"/>
      <c r="FQ233" s="365"/>
      <c r="FR233" s="365"/>
      <c r="FS233" s="365"/>
      <c r="FT233" s="365"/>
      <c r="FU233" s="365"/>
      <c r="FV233" s="365"/>
      <c r="FW233" s="365"/>
      <c r="FX233" s="365"/>
      <c r="FY233" s="365"/>
      <c r="FZ233" s="365"/>
      <c r="GA233" s="365"/>
      <c r="GB233" s="365"/>
      <c r="GC233" s="365"/>
      <c r="GD233" s="365"/>
      <c r="GE233" s="365"/>
      <c r="GF233" s="365"/>
      <c r="GG233" s="365"/>
      <c r="GH233" s="365"/>
      <c r="GI233" s="365"/>
      <c r="GJ233" s="365"/>
      <c r="GK233" s="365"/>
      <c r="GL233" s="365"/>
      <c r="GM233" s="365"/>
      <c r="GN233" s="365"/>
      <c r="GO233" s="365"/>
      <c r="GP233" s="365"/>
      <c r="GQ233" s="365"/>
      <c r="GR233" s="365"/>
      <c r="GS233" s="365"/>
      <c r="GT233" s="365"/>
      <c r="GU233" s="365"/>
      <c r="GV233" s="365"/>
      <c r="GW233" s="365"/>
      <c r="GX233" s="365"/>
      <c r="GY233" s="365"/>
      <c r="GZ233" s="365"/>
      <c r="HA233" s="365"/>
      <c r="HB233" s="365"/>
      <c r="HC233" s="365"/>
      <c r="HD233" s="365"/>
      <c r="HE233" s="365"/>
      <c r="HF233" s="365"/>
      <c r="HG233" s="365"/>
      <c r="HH233" s="365"/>
      <c r="HI233" s="365"/>
      <c r="HJ233" s="365"/>
      <c r="HK233" s="365"/>
      <c r="HL233" s="365"/>
      <c r="HM233" s="365"/>
      <c r="HN233" s="365"/>
      <c r="HO233" s="365"/>
      <c r="HP233" s="365"/>
      <c r="HQ233" s="365"/>
      <c r="HR233" s="365"/>
      <c r="HS233" s="365"/>
      <c r="HT233" s="365"/>
      <c r="HU233" s="365"/>
      <c r="HV233" s="365"/>
      <c r="HW233" s="365"/>
      <c r="HX233" s="365"/>
      <c r="HY233" s="365"/>
      <c r="HZ233" s="365"/>
      <c r="IA233" s="365"/>
      <c r="IB233" s="365"/>
      <c r="IC233" s="365"/>
      <c r="ID233" s="365"/>
      <c r="IE233" s="365"/>
      <c r="IF233" s="365"/>
      <c r="IG233" s="365"/>
      <c r="IH233" s="365"/>
      <c r="II233" s="365"/>
      <c r="IJ233" s="365"/>
      <c r="IK233" s="365"/>
      <c r="IL233" s="365"/>
      <c r="IM233" s="365"/>
      <c r="IN233" s="365"/>
      <c r="IO233" s="365"/>
      <c r="IP233" s="365"/>
    </row>
    <row r="234" spans="1:250" s="362" customFormat="1" ht="13.15" customHeight="1">
      <c r="A234" s="357"/>
      <c r="B234" s="366" t="s">
        <v>262</v>
      </c>
      <c r="C234" s="367"/>
      <c r="D234" s="368"/>
      <c r="E234" s="369"/>
      <c r="F234" s="616">
        <f>Assumptions!H21</f>
        <v>30</v>
      </c>
      <c r="G234" s="361"/>
      <c r="K234" s="363"/>
      <c r="L234" s="364"/>
      <c r="M234" s="364"/>
      <c r="N234" s="364"/>
      <c r="O234" s="22"/>
      <c r="P234" s="365"/>
      <c r="Q234" s="365"/>
      <c r="R234" s="365"/>
      <c r="S234" s="365"/>
      <c r="T234" s="365"/>
      <c r="U234" s="365"/>
      <c r="V234" s="365"/>
      <c r="W234" s="365"/>
      <c r="X234" s="365"/>
      <c r="Y234" s="365"/>
      <c r="Z234" s="365"/>
      <c r="AA234" s="365"/>
      <c r="AB234" s="365"/>
      <c r="AC234" s="365"/>
      <c r="AD234" s="365"/>
      <c r="AE234" s="365"/>
      <c r="AF234" s="365"/>
      <c r="AG234" s="365"/>
      <c r="AH234" s="365"/>
      <c r="AI234" s="365"/>
      <c r="AJ234" s="365"/>
      <c r="AK234" s="365"/>
      <c r="AL234" s="365"/>
      <c r="AM234" s="365"/>
      <c r="AN234" s="365"/>
      <c r="AO234" s="365"/>
      <c r="AP234" s="365"/>
      <c r="AQ234" s="365"/>
      <c r="AR234" s="365"/>
      <c r="AS234" s="365"/>
      <c r="AT234" s="365"/>
      <c r="AU234" s="365"/>
      <c r="AV234" s="365"/>
      <c r="AW234" s="365"/>
      <c r="AX234" s="365"/>
      <c r="AY234" s="365"/>
      <c r="AZ234" s="365"/>
      <c r="BA234" s="365"/>
      <c r="BB234" s="365"/>
      <c r="BC234" s="365"/>
      <c r="BD234" s="365"/>
      <c r="BE234" s="365"/>
      <c r="BF234" s="365"/>
      <c r="BG234" s="365"/>
      <c r="BH234" s="365"/>
      <c r="BI234" s="365"/>
      <c r="BJ234" s="365"/>
      <c r="BK234" s="365"/>
      <c r="BL234" s="365"/>
      <c r="BM234" s="365"/>
      <c r="BN234" s="365"/>
      <c r="BO234" s="365"/>
      <c r="BP234" s="365"/>
      <c r="BQ234" s="365"/>
      <c r="BR234" s="365"/>
      <c r="BS234" s="365"/>
      <c r="BT234" s="365"/>
      <c r="BU234" s="365"/>
      <c r="BV234" s="365"/>
      <c r="BW234" s="365"/>
      <c r="BX234" s="365"/>
      <c r="BY234" s="365"/>
      <c r="BZ234" s="365"/>
      <c r="CA234" s="365"/>
      <c r="CB234" s="365"/>
      <c r="CC234" s="365"/>
      <c r="CD234" s="365"/>
      <c r="CE234" s="365"/>
      <c r="CF234" s="365"/>
      <c r="CG234" s="365"/>
      <c r="CH234" s="365"/>
      <c r="CI234" s="365"/>
      <c r="CJ234" s="365"/>
      <c r="CK234" s="365"/>
      <c r="CL234" s="365"/>
      <c r="CM234" s="365"/>
      <c r="CN234" s="365"/>
      <c r="CO234" s="365"/>
      <c r="CP234" s="365"/>
      <c r="CQ234" s="365"/>
      <c r="CR234" s="365"/>
      <c r="CS234" s="365"/>
      <c r="CT234" s="365"/>
      <c r="CU234" s="365"/>
      <c r="CV234" s="365"/>
      <c r="CW234" s="365"/>
      <c r="CX234" s="365"/>
      <c r="CY234" s="365"/>
      <c r="CZ234" s="365"/>
      <c r="DA234" s="365"/>
      <c r="DB234" s="365"/>
      <c r="DC234" s="365"/>
      <c r="DD234" s="365"/>
      <c r="DE234" s="365"/>
      <c r="DF234" s="365"/>
      <c r="DG234" s="365"/>
      <c r="DH234" s="365"/>
      <c r="DI234" s="365"/>
      <c r="DJ234" s="365"/>
      <c r="DK234" s="365"/>
      <c r="DL234" s="365"/>
      <c r="DM234" s="365"/>
      <c r="DN234" s="365"/>
      <c r="DO234" s="365"/>
      <c r="DP234" s="365"/>
      <c r="DQ234" s="365"/>
      <c r="DR234" s="365"/>
      <c r="DS234" s="365"/>
      <c r="DT234" s="365"/>
      <c r="DU234" s="365"/>
      <c r="DV234" s="365"/>
      <c r="DW234" s="365"/>
      <c r="DX234" s="365"/>
      <c r="DY234" s="365"/>
      <c r="DZ234" s="365"/>
      <c r="EA234" s="365"/>
      <c r="EB234" s="365"/>
      <c r="EC234" s="365"/>
      <c r="ED234" s="365"/>
      <c r="EE234" s="365"/>
      <c r="EF234" s="365"/>
      <c r="EG234" s="365"/>
      <c r="EH234" s="365"/>
      <c r="EI234" s="365"/>
      <c r="EJ234" s="365"/>
      <c r="EK234" s="365"/>
      <c r="EL234" s="365"/>
      <c r="EM234" s="365"/>
      <c r="EN234" s="365"/>
      <c r="EO234" s="365"/>
      <c r="EP234" s="365"/>
      <c r="EQ234" s="365"/>
      <c r="ER234" s="365"/>
      <c r="ES234" s="365"/>
      <c r="ET234" s="365"/>
      <c r="EU234" s="365"/>
      <c r="EV234" s="365"/>
      <c r="EW234" s="365"/>
      <c r="EX234" s="365"/>
      <c r="EY234" s="365"/>
      <c r="EZ234" s="365"/>
      <c r="FA234" s="365"/>
      <c r="FB234" s="365"/>
      <c r="FC234" s="365"/>
      <c r="FD234" s="365"/>
      <c r="FE234" s="365"/>
      <c r="FF234" s="365"/>
      <c r="FG234" s="365"/>
      <c r="FH234" s="365"/>
      <c r="FI234" s="365"/>
      <c r="FJ234" s="365"/>
      <c r="FK234" s="365"/>
      <c r="FL234" s="365"/>
      <c r="FM234" s="365"/>
      <c r="FN234" s="365"/>
      <c r="FO234" s="365"/>
      <c r="FP234" s="365"/>
      <c r="FQ234" s="365"/>
      <c r="FR234" s="365"/>
      <c r="FS234" s="365"/>
      <c r="FT234" s="365"/>
      <c r="FU234" s="365"/>
      <c r="FV234" s="365"/>
      <c r="FW234" s="365"/>
      <c r="FX234" s="365"/>
      <c r="FY234" s="365"/>
      <c r="FZ234" s="365"/>
      <c r="GA234" s="365"/>
      <c r="GB234" s="365"/>
      <c r="GC234" s="365"/>
      <c r="GD234" s="365"/>
      <c r="GE234" s="365"/>
      <c r="GF234" s="365"/>
      <c r="GG234" s="365"/>
      <c r="GH234" s="365"/>
      <c r="GI234" s="365"/>
      <c r="GJ234" s="365"/>
      <c r="GK234" s="365"/>
      <c r="GL234" s="365"/>
      <c r="GM234" s="365"/>
      <c r="GN234" s="365"/>
      <c r="GO234" s="365"/>
      <c r="GP234" s="365"/>
      <c r="GQ234" s="365"/>
      <c r="GR234" s="365"/>
      <c r="GS234" s="365"/>
      <c r="GT234" s="365"/>
      <c r="GU234" s="365"/>
      <c r="GV234" s="365"/>
      <c r="GW234" s="365"/>
      <c r="GX234" s="365"/>
      <c r="GY234" s="365"/>
      <c r="GZ234" s="365"/>
      <c r="HA234" s="365"/>
      <c r="HB234" s="365"/>
      <c r="HC234" s="365"/>
      <c r="HD234" s="365"/>
      <c r="HE234" s="365"/>
      <c r="HF234" s="365"/>
      <c r="HG234" s="365"/>
      <c r="HH234" s="365"/>
      <c r="HI234" s="365"/>
      <c r="HJ234" s="365"/>
      <c r="HK234" s="365"/>
      <c r="HL234" s="365"/>
      <c r="HM234" s="365"/>
      <c r="HN234" s="365"/>
      <c r="HO234" s="365"/>
      <c r="HP234" s="365"/>
      <c r="HQ234" s="365"/>
      <c r="HR234" s="365"/>
      <c r="HS234" s="365"/>
      <c r="HT234" s="365"/>
      <c r="HU234" s="365"/>
      <c r="HV234" s="365"/>
      <c r="HW234" s="365"/>
      <c r="HX234" s="365"/>
      <c r="HY234" s="365"/>
      <c r="HZ234" s="365"/>
      <c r="IA234" s="365"/>
      <c r="IB234" s="365"/>
      <c r="IC234" s="365"/>
      <c r="ID234" s="365"/>
      <c r="IE234" s="365"/>
      <c r="IF234" s="365"/>
      <c r="IG234" s="365"/>
      <c r="IH234" s="365"/>
      <c r="II234" s="365"/>
      <c r="IJ234" s="365"/>
      <c r="IK234" s="365"/>
      <c r="IL234" s="365"/>
      <c r="IM234" s="365"/>
      <c r="IN234" s="365"/>
      <c r="IO234" s="365"/>
      <c r="IP234" s="365"/>
    </row>
    <row r="235" spans="1:250" ht="12.75" customHeight="1">
      <c r="F235" s="22"/>
      <c r="K235" s="370"/>
    </row>
    <row r="236" spans="1:250">
      <c r="D236" s="22" t="s">
        <v>47</v>
      </c>
      <c r="F236" s="22"/>
      <c r="H236" s="371">
        <v>15.4</v>
      </c>
      <c r="I236" s="371">
        <v>15.5</v>
      </c>
      <c r="J236" s="371">
        <v>15.8</v>
      </c>
      <c r="K236" s="614">
        <f>$J$198/$F$233</f>
        <v>15.907999999999999</v>
      </c>
      <c r="L236" s="614">
        <f t="shared" ref="L236:O236" si="96">$J$198/$F$233</f>
        <v>15.907999999999999</v>
      </c>
      <c r="M236" s="614">
        <f t="shared" si="96"/>
        <v>15.907999999999999</v>
      </c>
      <c r="N236" s="614">
        <f t="shared" si="96"/>
        <v>15.907999999999999</v>
      </c>
      <c r="O236" s="614">
        <f t="shared" si="96"/>
        <v>15.907999999999999</v>
      </c>
    </row>
    <row r="237" spans="1:250">
      <c r="F237" s="22"/>
    </row>
    <row r="238" spans="1:250">
      <c r="D238" s="372" t="s">
        <v>65</v>
      </c>
      <c r="F238" s="22"/>
    </row>
    <row r="239" spans="1:250">
      <c r="D239" s="373">
        <f>K231</f>
        <v>2020</v>
      </c>
      <c r="E239" s="619">
        <f>-HLOOKUP(D239,$K$153:$O$163,ROWS(K153:K163), FALSE)</f>
        <v>16</v>
      </c>
      <c r="F239" s="374"/>
      <c r="H239" s="375"/>
      <c r="I239" s="375"/>
      <c r="J239" s="375"/>
      <c r="K239" s="617">
        <f>IF(K$231=$D239, $E239/$F$234/2,MIN($E239/$F$234, $E$239-SUM($J239:J239)))</f>
        <v>0.26666666666666666</v>
      </c>
      <c r="L239" s="617">
        <f>IF(L$231=$D239, $E239/$F$234/2,MIN($E239/$F$234, $E$239-SUM($J239:K239)))</f>
        <v>0.53333333333333333</v>
      </c>
      <c r="M239" s="617">
        <f>IF(M$231=$D239, $E239/$F$234/2,MIN($E239/$F$234, $E$239-SUM($J239:L239)))</f>
        <v>0.53333333333333333</v>
      </c>
      <c r="N239" s="617">
        <f>IF(N$231=$D239, $E239/$F$234/2,MIN($E239/$F$234, $E$239-SUM($J239:M239)))</f>
        <v>0.53333333333333333</v>
      </c>
      <c r="O239" s="617">
        <f>IF(O$231=$D239, $E239/$F$234/2,MIN($E239/$F$234, $E$239-SUM($J239:N239)))</f>
        <v>0.53333333333333333</v>
      </c>
    </row>
    <row r="240" spans="1:250">
      <c r="D240" s="373">
        <f>D239+1</f>
        <v>2021</v>
      </c>
      <c r="E240" s="619">
        <f t="shared" ref="E240:E243" si="97">-HLOOKUP(D240,$K$153:$O$163,ROWS(K154:K164), FALSE)</f>
        <v>17</v>
      </c>
      <c r="F240" s="374"/>
      <c r="H240" s="375"/>
      <c r="I240" s="375"/>
      <c r="J240" s="375"/>
      <c r="K240" s="698"/>
      <c r="L240" s="617">
        <f>IF(L$231=$D240, $E240/$F$234/2,MIN($E240/$F$234, $E$239-SUM($J240:K240)))</f>
        <v>0.28333333333333333</v>
      </c>
      <c r="M240" s="617">
        <f>IF(M$231=$D240, $E240/$F$234/2,MIN($E240/$F$234, $E$239-SUM($J240:L240)))</f>
        <v>0.56666666666666665</v>
      </c>
      <c r="N240" s="617">
        <f>IF(N$231=$D240, $E240/$F$234/2,MIN($E240/$F$234, $E$239-SUM($J240:M240)))</f>
        <v>0.56666666666666665</v>
      </c>
      <c r="O240" s="617">
        <f>IF(O$231=$D240, $E240/$F$234/2,MIN($E240/$F$234, $E$239-SUM($J240:N240)))</f>
        <v>0.56666666666666665</v>
      </c>
    </row>
    <row r="241" spans="2:15">
      <c r="D241" s="373">
        <f>D240+1</f>
        <v>2022</v>
      </c>
      <c r="E241" s="619">
        <f t="shared" si="97"/>
        <v>17.34</v>
      </c>
      <c r="F241" s="374"/>
      <c r="H241" s="377"/>
      <c r="I241" s="377"/>
      <c r="J241" s="377"/>
      <c r="K241" s="698"/>
      <c r="L241" s="698"/>
      <c r="M241" s="617">
        <f>IF(M$231=$D241, $E241/$F$234/2,MIN($E241/$F$234, $E$239-SUM($J241:L241)))</f>
        <v>0.28899999999999998</v>
      </c>
      <c r="N241" s="617">
        <f>IF(N$231=$D241, $E241/$F$234/2,MIN($E241/$F$234, $E$239-SUM($J241:M241)))</f>
        <v>0.57799999999999996</v>
      </c>
      <c r="O241" s="617">
        <f>IF(O$231=$D241, $E241/$F$234/2,MIN($E241/$F$234, $E$239-SUM($J241:N241)))</f>
        <v>0.57799999999999996</v>
      </c>
    </row>
    <row r="242" spans="2:15">
      <c r="D242" s="373">
        <f>D241+1</f>
        <v>2023</v>
      </c>
      <c r="E242" s="619">
        <f t="shared" si="97"/>
        <v>17.773499999999999</v>
      </c>
      <c r="F242" s="374"/>
      <c r="H242" s="377"/>
      <c r="I242" s="377"/>
      <c r="J242" s="377"/>
      <c r="K242" s="698"/>
      <c r="L242" s="698"/>
      <c r="M242" s="698"/>
      <c r="N242" s="617">
        <f>IF(N$231=$D242, $E242/$F$234/2,MIN($E242/$F$234, $E$239-SUM($J242:M242)))</f>
        <v>0.29622499999999996</v>
      </c>
      <c r="O242" s="617">
        <f>IF(O$231=$D242, $E242/$F$234/2,MIN($E242/$F$234, $E$239-SUM($J242:N242)))</f>
        <v>0.59244999999999992</v>
      </c>
    </row>
    <row r="243" spans="2:15">
      <c r="D243" s="373">
        <f>D242+1</f>
        <v>2024</v>
      </c>
      <c r="E243" s="697">
        <f t="shared" si="97"/>
        <v>18.217837499999998</v>
      </c>
      <c r="F243" s="374"/>
      <c r="H243" s="377"/>
      <c r="I243" s="377"/>
      <c r="J243" s="377"/>
      <c r="K243" s="698"/>
      <c r="L243" s="698"/>
      <c r="M243" s="698"/>
      <c r="N243" s="698"/>
      <c r="O243" s="617">
        <f>IF(O$231=$D243, $E243/$F$234/2,MIN($E243/$F$234, $E$239-SUM($J243:N243)))</f>
        <v>0.30363062499999999</v>
      </c>
    </row>
    <row r="244" spans="2:15">
      <c r="H244" s="18"/>
      <c r="I244" s="18"/>
      <c r="J244" s="18"/>
    </row>
    <row r="245" spans="2:15" ht="13.5" thickBot="1">
      <c r="D245" s="378" t="s">
        <v>48</v>
      </c>
      <c r="H245" s="580">
        <f t="shared" ref="H245:J245" si="98">SUM(H236:H243)</f>
        <v>15.4</v>
      </c>
      <c r="I245" s="580">
        <f t="shared" si="98"/>
        <v>15.5</v>
      </c>
      <c r="J245" s="580">
        <f t="shared" si="98"/>
        <v>15.8</v>
      </c>
      <c r="K245" s="618">
        <f>SUM(K236:K243)</f>
        <v>16.174666666666667</v>
      </c>
      <c r="L245" s="618">
        <f t="shared" ref="L245:O245" si="99">SUM(L236:L243)</f>
        <v>16.724666666666668</v>
      </c>
      <c r="M245" s="618">
        <f t="shared" si="99"/>
        <v>17.297000000000001</v>
      </c>
      <c r="N245" s="618">
        <f t="shared" si="99"/>
        <v>17.882224999999998</v>
      </c>
      <c r="O245" s="618">
        <f t="shared" si="99"/>
        <v>18.482080624999998</v>
      </c>
    </row>
    <row r="246" spans="2:15" ht="13.5" thickTop="1">
      <c r="D246" s="378"/>
      <c r="H246" s="379"/>
      <c r="I246" s="379"/>
      <c r="J246" s="379"/>
      <c r="K246" s="379"/>
      <c r="L246" s="99"/>
      <c r="M246" s="99"/>
      <c r="N246" s="99"/>
      <c r="O246" s="99"/>
    </row>
    <row r="247" spans="2:15">
      <c r="B247" s="41"/>
      <c r="C247" s="41"/>
      <c r="D247" s="41"/>
      <c r="E247" s="41"/>
      <c r="F247" s="243"/>
      <c r="G247" s="41"/>
      <c r="H247" s="332"/>
      <c r="I247" s="332"/>
      <c r="J247" s="332"/>
      <c r="K247" s="332"/>
      <c r="L247" s="332"/>
      <c r="M247" s="332"/>
      <c r="N247" s="332"/>
      <c r="O247" s="41"/>
    </row>
    <row r="248" spans="2:15">
      <c r="F248" s="22"/>
    </row>
    <row r="249" spans="2:15" ht="12.75" customHeight="1">
      <c r="B249" s="19"/>
      <c r="C249" s="21"/>
      <c r="D249" s="21"/>
      <c r="E249" s="21"/>
      <c r="F249" s="21"/>
      <c r="G249" s="21"/>
      <c r="H249" s="21"/>
      <c r="I249" s="21"/>
      <c r="J249" s="21"/>
      <c r="K249" s="21"/>
      <c r="L249" s="21"/>
      <c r="M249" s="21"/>
      <c r="N249" s="21"/>
      <c r="O249" s="247" t="str">
        <f>O225</f>
        <v>currently running: Base Case scenario mofo</v>
      </c>
    </row>
    <row r="250" spans="2:15" ht="23.25">
      <c r="B250" s="19" t="str">
        <f>B2</f>
        <v>Your Company Name</v>
      </c>
      <c r="C250" s="21"/>
      <c r="D250" s="21"/>
      <c r="E250" s="21"/>
      <c r="F250" s="21"/>
      <c r="G250" s="21"/>
      <c r="H250" s="21"/>
      <c r="I250" s="21"/>
      <c r="J250" s="21"/>
      <c r="K250" s="21"/>
      <c r="L250" s="21"/>
      <c r="M250" s="21"/>
      <c r="N250" s="21"/>
      <c r="O250" s="21"/>
    </row>
    <row r="251" spans="2:15" ht="18.75">
      <c r="B251" s="196" t="s">
        <v>58</v>
      </c>
      <c r="C251" s="21"/>
      <c r="D251" s="24"/>
      <c r="E251" s="24"/>
      <c r="F251" s="24"/>
      <c r="G251" s="24"/>
      <c r="H251" s="24"/>
      <c r="I251" s="24"/>
      <c r="J251" s="24"/>
      <c r="K251" s="24"/>
      <c r="L251" s="24"/>
      <c r="M251" s="24"/>
      <c r="N251" s="24"/>
      <c r="O251" s="24"/>
    </row>
    <row r="252" spans="2:15" ht="6" customHeight="1" thickBot="1">
      <c r="B252" s="200"/>
      <c r="C252" s="200"/>
      <c r="D252" s="308"/>
      <c r="E252" s="308"/>
      <c r="F252" s="308"/>
      <c r="G252" s="308"/>
      <c r="H252" s="308"/>
      <c r="I252" s="308"/>
      <c r="J252" s="308"/>
      <c r="K252" s="308"/>
      <c r="L252" s="308"/>
      <c r="M252" s="308"/>
      <c r="N252" s="308"/>
      <c r="O252" s="308"/>
    </row>
    <row r="253" spans="2:15">
      <c r="B253" s="310" t="s">
        <v>219</v>
      </c>
      <c r="F253" s="22"/>
    </row>
    <row r="254" spans="2:15">
      <c r="F254" s="22"/>
      <c r="H254" s="333"/>
      <c r="I254" s="333"/>
      <c r="J254" s="333"/>
      <c r="K254" s="204" t="s">
        <v>5</v>
      </c>
      <c r="L254" s="62"/>
      <c r="M254" s="62"/>
      <c r="N254" s="62"/>
      <c r="O254" s="62"/>
    </row>
    <row r="255" spans="2:15">
      <c r="B255" s="380"/>
      <c r="C255" s="381" t="s">
        <v>123</v>
      </c>
      <c r="D255" s="382"/>
      <c r="E255" s="620">
        <f>Assumptions!N18</f>
        <v>0.21</v>
      </c>
      <c r="F255" s="22"/>
      <c r="H255" s="383"/>
      <c r="I255" s="383"/>
      <c r="J255" s="383"/>
      <c r="K255" s="313">
        <f>K$7</f>
        <v>2020</v>
      </c>
      <c r="L255" s="313">
        <f>L$7</f>
        <v>2021</v>
      </c>
      <c r="M255" s="313">
        <f>M$7</f>
        <v>2022</v>
      </c>
      <c r="N255" s="313">
        <f>N$7</f>
        <v>2023</v>
      </c>
      <c r="O255" s="313">
        <f>O$7</f>
        <v>2024</v>
      </c>
    </row>
    <row r="256" spans="2:15">
      <c r="F256" s="22"/>
    </row>
    <row r="257" spans="3:15">
      <c r="C257" s="217" t="s">
        <v>144</v>
      </c>
      <c r="F257" s="22"/>
      <c r="G257" s="384" t="s">
        <v>35</v>
      </c>
      <c r="H257" s="364"/>
      <c r="I257" s="364"/>
      <c r="J257" s="364"/>
      <c r="K257" s="621">
        <f>K129</f>
        <v>26.893600833333295</v>
      </c>
      <c r="L257" s="621">
        <f t="shared" ref="L257:O257" si="100">L129</f>
        <v>18.348149125790179</v>
      </c>
      <c r="M257" s="621">
        <f t="shared" si="100"/>
        <v>51.032083267176574</v>
      </c>
      <c r="N257" s="621">
        <f t="shared" si="100"/>
        <v>47.018557562718925</v>
      </c>
      <c r="O257" s="621">
        <f t="shared" si="100"/>
        <v>50.77180825550009</v>
      </c>
    </row>
    <row r="258" spans="3:15" ht="6" customHeight="1">
      <c r="E258" s="385"/>
      <c r="F258" s="385"/>
      <c r="G258" s="386"/>
      <c r="H258" s="386"/>
      <c r="I258" s="386"/>
      <c r="J258" s="386"/>
      <c r="K258" s="386"/>
      <c r="L258" s="386"/>
      <c r="M258" s="386"/>
      <c r="N258" s="386"/>
      <c r="O258" s="386"/>
    </row>
    <row r="259" spans="3:15">
      <c r="D259" s="22" t="s">
        <v>143</v>
      </c>
      <c r="E259" s="385"/>
      <c r="F259" s="385"/>
      <c r="G259" s="386"/>
      <c r="H259" s="364"/>
      <c r="I259" s="364"/>
      <c r="J259" s="364"/>
      <c r="K259" s="617">
        <f>K245</f>
        <v>16.174666666666667</v>
      </c>
      <c r="L259" s="617">
        <f t="shared" ref="L259:O259" si="101">L245</f>
        <v>16.724666666666668</v>
      </c>
      <c r="M259" s="617">
        <f t="shared" si="101"/>
        <v>17.297000000000001</v>
      </c>
      <c r="N259" s="617">
        <f t="shared" si="101"/>
        <v>17.882224999999998</v>
      </c>
      <c r="O259" s="617">
        <f t="shared" si="101"/>
        <v>18.482080624999998</v>
      </c>
    </row>
    <row r="260" spans="3:15">
      <c r="D260" s="22" t="s">
        <v>220</v>
      </c>
      <c r="E260" s="385"/>
      <c r="F260" s="385"/>
      <c r="G260" s="386"/>
      <c r="H260" s="375"/>
      <c r="I260" s="375"/>
      <c r="J260" s="375"/>
      <c r="K260" s="622">
        <f>K291</f>
        <v>24.84</v>
      </c>
      <c r="L260" s="622">
        <f t="shared" ref="L260:O260" si="102">L291</f>
        <v>23.171999999999997</v>
      </c>
      <c r="M260" s="622">
        <f t="shared" si="102"/>
        <v>21.971599999999999</v>
      </c>
      <c r="N260" s="622">
        <f t="shared" si="102"/>
        <v>21.088630000000002</v>
      </c>
      <c r="O260" s="622">
        <f t="shared" si="102"/>
        <v>20.470037749999999</v>
      </c>
    </row>
    <row r="261" spans="3:15">
      <c r="D261" s="234" t="s">
        <v>221</v>
      </c>
      <c r="E261" s="388"/>
      <c r="F261" s="388"/>
      <c r="G261" s="389"/>
      <c r="H261" s="390"/>
      <c r="I261" s="390"/>
      <c r="J261" s="390"/>
      <c r="K261" s="623">
        <f>K257+K259-K260</f>
        <v>18.228267499999962</v>
      </c>
      <c r="L261" s="623">
        <f t="shared" ref="L261:O261" si="103">L257+L259-L260</f>
        <v>11.900815792456854</v>
      </c>
      <c r="M261" s="623">
        <f t="shared" si="103"/>
        <v>46.357483267176576</v>
      </c>
      <c r="N261" s="623">
        <f t="shared" si="103"/>
        <v>43.812152562718914</v>
      </c>
      <c r="O261" s="623">
        <f t="shared" si="103"/>
        <v>48.783851130500082</v>
      </c>
    </row>
    <row r="262" spans="3:15">
      <c r="E262" s="385"/>
      <c r="F262" s="385"/>
      <c r="G262" s="386"/>
      <c r="H262" s="386"/>
      <c r="I262" s="386"/>
      <c r="J262" s="386"/>
      <c r="K262" s="386"/>
      <c r="L262" s="386"/>
      <c r="M262" s="386"/>
      <c r="N262" s="386"/>
      <c r="O262" s="386"/>
    </row>
    <row r="263" spans="3:15">
      <c r="C263" s="234" t="s">
        <v>222</v>
      </c>
      <c r="E263" s="385"/>
      <c r="F263" s="385"/>
      <c r="G263" s="386"/>
      <c r="H263" s="386"/>
      <c r="I263" s="386"/>
      <c r="J263" s="386"/>
      <c r="K263" s="386"/>
      <c r="L263" s="386"/>
      <c r="M263" s="386"/>
      <c r="N263" s="386"/>
      <c r="O263" s="386"/>
    </row>
    <row r="264" spans="3:15">
      <c r="D264" s="219" t="s">
        <v>223</v>
      </c>
      <c r="E264" s="385"/>
      <c r="F264" s="385"/>
      <c r="G264" s="386"/>
      <c r="H264" s="386"/>
      <c r="I264" s="386"/>
      <c r="J264" s="386"/>
      <c r="K264" s="629">
        <f>Assumptions!N20</f>
        <v>25</v>
      </c>
      <c r="L264" s="376">
        <f>K264-K265</f>
        <v>6.7717325000000379</v>
      </c>
      <c r="M264" s="376">
        <f>L264-L265</f>
        <v>0</v>
      </c>
      <c r="N264" s="376">
        <f>M264-M265</f>
        <v>0</v>
      </c>
      <c r="O264" s="376">
        <f>N264-N265</f>
        <v>0</v>
      </c>
    </row>
    <row r="265" spans="3:15">
      <c r="D265" s="85" t="s">
        <v>224</v>
      </c>
      <c r="E265" s="385"/>
      <c r="F265" s="385"/>
      <c r="G265" s="386"/>
      <c r="H265" s="375"/>
      <c r="I265" s="375"/>
      <c r="J265" s="375"/>
      <c r="K265" s="622">
        <f>IF(K261&lt;0,0,MIN(K261,K264))</f>
        <v>18.228267499999962</v>
      </c>
      <c r="L265" s="622">
        <f t="shared" ref="L265:O265" si="104">IF(L261&lt;0,0,MIN(L261,L264))</f>
        <v>6.7717325000000379</v>
      </c>
      <c r="M265" s="622">
        <f t="shared" si="104"/>
        <v>0</v>
      </c>
      <c r="N265" s="622">
        <f t="shared" si="104"/>
        <v>0</v>
      </c>
      <c r="O265" s="622">
        <f t="shared" si="104"/>
        <v>0</v>
      </c>
    </row>
    <row r="266" spans="3:15">
      <c r="D266" s="217" t="s">
        <v>225</v>
      </c>
      <c r="E266" s="388"/>
      <c r="F266" s="388"/>
      <c r="G266" s="389"/>
      <c r="H266" s="390"/>
      <c r="I266" s="390"/>
      <c r="J266" s="390"/>
      <c r="K266" s="623">
        <f>K261-K265</f>
        <v>0</v>
      </c>
      <c r="L266" s="623">
        <f t="shared" ref="L266:O266" si="105">L261-L265</f>
        <v>5.1290832924568157</v>
      </c>
      <c r="M266" s="623">
        <f t="shared" si="105"/>
        <v>46.357483267176576</v>
      </c>
      <c r="N266" s="623">
        <f t="shared" si="105"/>
        <v>43.812152562718914</v>
      </c>
      <c r="O266" s="623">
        <f t="shared" si="105"/>
        <v>48.783851130500082</v>
      </c>
    </row>
    <row r="267" spans="3:15">
      <c r="E267" s="385"/>
      <c r="F267" s="385"/>
      <c r="G267" s="386"/>
      <c r="H267" s="386"/>
      <c r="I267" s="386"/>
      <c r="J267" s="386"/>
      <c r="K267" s="386"/>
      <c r="L267" s="386"/>
      <c r="M267" s="386"/>
      <c r="N267" s="386"/>
      <c r="O267" s="386"/>
    </row>
    <row r="268" spans="3:15">
      <c r="D268" s="219" t="s">
        <v>226</v>
      </c>
      <c r="E268" s="385"/>
      <c r="F268" s="385"/>
      <c r="G268" s="386"/>
      <c r="H268" s="386"/>
      <c r="I268" s="386"/>
      <c r="J268" s="386"/>
      <c r="K268" s="376">
        <f>J270</f>
        <v>0</v>
      </c>
      <c r="L268" s="376">
        <f>K270</f>
        <v>0</v>
      </c>
      <c r="M268" s="376">
        <f>L270</f>
        <v>0</v>
      </c>
      <c r="N268" s="376">
        <f>M270</f>
        <v>0</v>
      </c>
      <c r="O268" s="376">
        <f>N270</f>
        <v>0</v>
      </c>
    </row>
    <row r="269" spans="3:15">
      <c r="D269" s="219" t="s">
        <v>227</v>
      </c>
      <c r="E269" s="385"/>
      <c r="F269" s="385"/>
      <c r="G269" s="386"/>
      <c r="H269" s="364"/>
      <c r="I269" s="364"/>
      <c r="J269" s="364"/>
      <c r="K269" s="387">
        <f>MIN(K268,K266)</f>
        <v>0</v>
      </c>
      <c r="L269" s="387">
        <f>MIN(L268,L266)</f>
        <v>0</v>
      </c>
      <c r="M269" s="387">
        <f>MIN(M268,M266)</f>
        <v>0</v>
      </c>
      <c r="N269" s="387">
        <f>MIN(N268,N266)</f>
        <v>0</v>
      </c>
      <c r="O269" s="387">
        <f>MIN(O268,O266)</f>
        <v>0</v>
      </c>
    </row>
    <row r="270" spans="3:15">
      <c r="D270" s="219" t="s">
        <v>228</v>
      </c>
      <c r="E270" s="385"/>
      <c r="F270" s="385"/>
      <c r="G270" s="386"/>
      <c r="H270" s="364"/>
      <c r="I270" s="364"/>
      <c r="J270" s="364"/>
      <c r="K270" s="376">
        <f>K268-K269</f>
        <v>0</v>
      </c>
      <c r="L270" s="376">
        <f>L268-L269</f>
        <v>0</v>
      </c>
      <c r="M270" s="376">
        <f>M268-M269</f>
        <v>0</v>
      </c>
      <c r="N270" s="376">
        <f>N268-N269</f>
        <v>0</v>
      </c>
      <c r="O270" s="376">
        <f>O268-O269</f>
        <v>0</v>
      </c>
    </row>
    <row r="271" spans="3:15" ht="6" customHeight="1">
      <c r="D271" s="219"/>
      <c r="E271" s="385"/>
      <c r="F271" s="385"/>
      <c r="G271" s="386"/>
      <c r="H271" s="364"/>
      <c r="I271" s="364"/>
      <c r="J271" s="364"/>
      <c r="K271" s="376"/>
      <c r="L271" s="376"/>
      <c r="M271" s="376"/>
      <c r="N271" s="376"/>
      <c r="O271" s="376"/>
    </row>
    <row r="272" spans="3:15">
      <c r="D272" s="219" t="s">
        <v>229</v>
      </c>
      <c r="E272" s="385"/>
      <c r="F272" s="385"/>
      <c r="G272" s="386"/>
      <c r="H272" s="375"/>
      <c r="I272" s="375"/>
      <c r="J272" s="375"/>
      <c r="K272" s="387">
        <f>IF(K265&lt;0,K264,(K264-K265))</f>
        <v>6.7717325000000379</v>
      </c>
      <c r="L272" s="387">
        <f>IF(L265&lt;0,L264,(L264-L265))</f>
        <v>0</v>
      </c>
      <c r="M272" s="387">
        <f>IF(M265&lt;0,M264,(M264-M265))</f>
        <v>0</v>
      </c>
      <c r="N272" s="387">
        <f>IF(N265&lt;0,N264,(N264-N265))</f>
        <v>0</v>
      </c>
      <c r="O272" s="387">
        <f>IF(O265&lt;0,O264,(O264-O265))</f>
        <v>0</v>
      </c>
    </row>
    <row r="273" spans="3:15">
      <c r="D273" s="217" t="s">
        <v>230</v>
      </c>
      <c r="E273" s="388"/>
      <c r="F273" s="388"/>
      <c r="G273" s="389"/>
      <c r="H273" s="390"/>
      <c r="I273" s="390"/>
      <c r="J273" s="390"/>
      <c r="K273" s="391">
        <f>K272+K270</f>
        <v>6.7717325000000379</v>
      </c>
      <c r="L273" s="391">
        <f>L272+L270</f>
        <v>0</v>
      </c>
      <c r="M273" s="391">
        <f>M272+M270</f>
        <v>0</v>
      </c>
      <c r="N273" s="391">
        <f>N272+N270</f>
        <v>0</v>
      </c>
      <c r="O273" s="391">
        <f>O272+O270</f>
        <v>0</v>
      </c>
    </row>
    <row r="274" spans="3:15">
      <c r="E274" s="385"/>
      <c r="F274" s="385"/>
      <c r="G274" s="386"/>
      <c r="H274" s="386"/>
      <c r="I274" s="386"/>
      <c r="J274" s="386"/>
      <c r="K274" s="386"/>
      <c r="L274" s="386"/>
      <c r="M274" s="386"/>
      <c r="N274" s="386"/>
      <c r="O274" s="386"/>
    </row>
    <row r="275" spans="3:15">
      <c r="D275" s="217" t="s">
        <v>263</v>
      </c>
      <c r="F275" s="385"/>
      <c r="G275" s="384" t="s">
        <v>36</v>
      </c>
      <c r="H275" s="390"/>
      <c r="I275" s="390"/>
      <c r="J275" s="390"/>
      <c r="K275" s="637">
        <f>K266-K269</f>
        <v>0</v>
      </c>
      <c r="L275" s="637">
        <f>L266-L269</f>
        <v>5.1290832924568157</v>
      </c>
      <c r="M275" s="637">
        <f>M266-M269</f>
        <v>46.357483267176576</v>
      </c>
      <c r="N275" s="637">
        <f>N266-N269</f>
        <v>43.812152562718914</v>
      </c>
      <c r="O275" s="637">
        <f>O266-O269</f>
        <v>48.783851130500082</v>
      </c>
    </row>
    <row r="276" spans="3:15">
      <c r="E276" s="286"/>
      <c r="F276" s="22"/>
      <c r="G276" s="18"/>
      <c r="H276" s="375"/>
      <c r="I276" s="375"/>
      <c r="J276" s="375"/>
      <c r="K276" s="375"/>
      <c r="L276" s="375"/>
      <c r="M276" s="375"/>
      <c r="N276" s="375"/>
      <c r="O276" s="375"/>
    </row>
    <row r="277" spans="3:15">
      <c r="D277" s="32" t="str">
        <f>CONCATENATE("Accounting Tax (",$E$255*100,"% of A)")</f>
        <v>Accounting Tax (21% of A)</v>
      </c>
      <c r="E277" s="186"/>
      <c r="F277" s="392"/>
      <c r="G277" s="392"/>
      <c r="H277" s="375"/>
      <c r="I277" s="375"/>
      <c r="J277" s="375"/>
      <c r="K277" s="627">
        <f>K261*$E$255</f>
        <v>3.8279361749999921</v>
      </c>
      <c r="L277" s="627">
        <f t="shared" ref="L277:O277" si="106">L261*$E$255</f>
        <v>2.4991713164159393</v>
      </c>
      <c r="M277" s="627">
        <f t="shared" si="106"/>
        <v>9.7350714861070813</v>
      </c>
      <c r="N277" s="627">
        <f t="shared" si="106"/>
        <v>9.2005520381709722</v>
      </c>
      <c r="O277" s="627">
        <f t="shared" si="106"/>
        <v>10.244608737405017</v>
      </c>
    </row>
    <row r="278" spans="3:15">
      <c r="D278" s="18"/>
      <c r="E278" s="18"/>
      <c r="F278" s="393"/>
      <c r="G278" s="18"/>
      <c r="H278" s="375"/>
      <c r="I278" s="375"/>
      <c r="J278" s="375"/>
      <c r="K278" s="375"/>
      <c r="L278" s="375"/>
      <c r="M278" s="375"/>
      <c r="N278" s="375"/>
      <c r="O278" s="375"/>
    </row>
    <row r="279" spans="3:15">
      <c r="C279" s="18"/>
      <c r="D279" s="297" t="s">
        <v>124</v>
      </c>
      <c r="E279" s="394"/>
      <c r="F279" s="395"/>
      <c r="G279" s="395"/>
      <c r="H279" s="395"/>
      <c r="I279" s="395"/>
      <c r="J279" s="395"/>
      <c r="K279" s="395"/>
      <c r="L279" s="395"/>
      <c r="M279" s="395"/>
      <c r="N279" s="395"/>
      <c r="O279" s="396"/>
    </row>
    <row r="280" spans="3:15">
      <c r="C280" s="18"/>
      <c r="D280" s="94" t="str">
        <f>CONCATENATE("Current Tax (",$E$255*100,"% of B)")</f>
        <v>Current Tax (21% of B)</v>
      </c>
      <c r="E280" s="186"/>
      <c r="F280" s="392"/>
      <c r="G280" s="397"/>
      <c r="H280" s="398"/>
      <c r="I280" s="398"/>
      <c r="J280" s="398"/>
      <c r="K280" s="627">
        <f>K275*$E$255</f>
        <v>0</v>
      </c>
      <c r="L280" s="627">
        <f t="shared" ref="L280:O280" si="107">L275*$E$255</f>
        <v>1.0771074914159313</v>
      </c>
      <c r="M280" s="627">
        <f t="shared" si="107"/>
        <v>9.7350714861070813</v>
      </c>
      <c r="N280" s="627">
        <f t="shared" si="107"/>
        <v>9.2005520381709722</v>
      </c>
      <c r="O280" s="627">
        <f t="shared" si="107"/>
        <v>10.244608737405017</v>
      </c>
    </row>
    <row r="281" spans="3:15">
      <c r="C281" s="18"/>
      <c r="D281" s="516" t="s">
        <v>282</v>
      </c>
      <c r="E281" s="186"/>
      <c r="F281" s="392"/>
      <c r="G281" s="392"/>
      <c r="H281" s="375"/>
      <c r="I281" s="375"/>
      <c r="J281" s="375"/>
      <c r="K281" s="622">
        <f>K277-K280</f>
        <v>3.8279361749999921</v>
      </c>
      <c r="L281" s="622">
        <f t="shared" ref="L281:O281" si="108">L277-L280</f>
        <v>1.4220638250000079</v>
      </c>
      <c r="M281" s="622">
        <f t="shared" si="108"/>
        <v>0</v>
      </c>
      <c r="N281" s="622">
        <f t="shared" si="108"/>
        <v>0</v>
      </c>
      <c r="O281" s="622">
        <f t="shared" si="108"/>
        <v>0</v>
      </c>
    </row>
    <row r="282" spans="3:15">
      <c r="C282" s="18"/>
      <c r="D282" s="399" t="s">
        <v>264</v>
      </c>
      <c r="E282" s="400"/>
      <c r="F282" s="401"/>
      <c r="G282" s="401"/>
      <c r="H282" s="402"/>
      <c r="I282" s="402"/>
      <c r="J282" s="402"/>
      <c r="K282" s="628">
        <f>K280+K281</f>
        <v>3.8279361749999921</v>
      </c>
      <c r="L282" s="628">
        <f t="shared" ref="L282:O282" si="109">L280+L281</f>
        <v>2.4991713164159393</v>
      </c>
      <c r="M282" s="628">
        <f t="shared" si="109"/>
        <v>9.7350714861070813</v>
      </c>
      <c r="N282" s="628">
        <f t="shared" si="109"/>
        <v>9.2005520381709722</v>
      </c>
      <c r="O282" s="628">
        <f t="shared" si="109"/>
        <v>10.244608737405017</v>
      </c>
    </row>
    <row r="283" spans="3:15">
      <c r="E283" s="385"/>
      <c r="F283" s="386"/>
      <c r="G283" s="386"/>
      <c r="H283" s="386"/>
      <c r="I283" s="386"/>
      <c r="J283" s="386"/>
      <c r="K283" s="386"/>
      <c r="L283" s="386"/>
      <c r="M283" s="386"/>
      <c r="N283" s="386"/>
      <c r="O283" s="386"/>
    </row>
    <row r="284" spans="3:15">
      <c r="D284" s="403" t="s">
        <v>231</v>
      </c>
      <c r="F284" s="386"/>
      <c r="G284" s="386"/>
      <c r="H284" s="386"/>
      <c r="I284" s="386"/>
      <c r="J284" s="386"/>
      <c r="K284" s="386"/>
      <c r="L284" s="386"/>
      <c r="M284" s="386"/>
      <c r="N284" s="386"/>
      <c r="O284" s="386"/>
    </row>
    <row r="285" spans="3:15">
      <c r="D285" s="364" t="s">
        <v>232</v>
      </c>
      <c r="F285" s="626">
        <f>Assumptions!N19</f>
        <v>0.2</v>
      </c>
      <c r="H285" s="250"/>
      <c r="I285" s="250"/>
      <c r="J285" s="250"/>
      <c r="K285" s="250"/>
      <c r="L285" s="250"/>
      <c r="M285" s="250"/>
      <c r="N285" s="250"/>
      <c r="O285" s="250"/>
    </row>
    <row r="286" spans="3:15" ht="6" customHeight="1">
      <c r="G286" s="386"/>
      <c r="H286" s="250"/>
      <c r="I286" s="250"/>
      <c r="J286" s="250"/>
      <c r="K286" s="250"/>
      <c r="L286" s="250"/>
      <c r="M286" s="250"/>
      <c r="N286" s="250"/>
      <c r="O286" s="250"/>
    </row>
    <row r="287" spans="3:15">
      <c r="D287" s="364" t="s">
        <v>233</v>
      </c>
      <c r="F287" s="385"/>
      <c r="G287" s="384" t="s">
        <v>147</v>
      </c>
      <c r="H287" s="404"/>
      <c r="I287" s="404"/>
      <c r="J287" s="404"/>
      <c r="K287" s="624">
        <f>Assumptions!N21</f>
        <v>116.2</v>
      </c>
      <c r="L287" s="625">
        <f>K292</f>
        <v>107.35999999999999</v>
      </c>
      <c r="M287" s="625">
        <f t="shared" ref="M287:O287" si="110">L292</f>
        <v>101.18799999999999</v>
      </c>
      <c r="N287" s="625">
        <f t="shared" si="110"/>
        <v>96.556399999999996</v>
      </c>
      <c r="O287" s="625">
        <f t="shared" si="110"/>
        <v>93.241269999999986</v>
      </c>
    </row>
    <row r="288" spans="3:15">
      <c r="D288" s="364" t="s">
        <v>145</v>
      </c>
      <c r="F288" s="385"/>
      <c r="G288" s="384" t="s">
        <v>148</v>
      </c>
      <c r="H288" s="364"/>
      <c r="I288" s="364"/>
      <c r="J288" s="364"/>
      <c r="K288" s="617">
        <f>-K163</f>
        <v>16</v>
      </c>
      <c r="L288" s="617">
        <f t="shared" ref="L288:O288" si="111">-L163</f>
        <v>17</v>
      </c>
      <c r="M288" s="617">
        <f t="shared" si="111"/>
        <v>17.34</v>
      </c>
      <c r="N288" s="617">
        <f t="shared" si="111"/>
        <v>17.773499999999999</v>
      </c>
      <c r="O288" s="617">
        <f t="shared" si="111"/>
        <v>18.217837499999998</v>
      </c>
    </row>
    <row r="289" spans="2:15">
      <c r="D289" s="364" t="s">
        <v>146</v>
      </c>
      <c r="F289" s="385"/>
      <c r="G289" s="386"/>
      <c r="H289" s="364"/>
      <c r="I289" s="364"/>
      <c r="J289" s="364"/>
      <c r="K289" s="617">
        <f>K288*0.5</f>
        <v>8</v>
      </c>
      <c r="L289" s="617">
        <f t="shared" ref="L289:O289" si="112">L288*0.5</f>
        <v>8.5</v>
      </c>
      <c r="M289" s="617">
        <f t="shared" si="112"/>
        <v>8.67</v>
      </c>
      <c r="N289" s="617">
        <f t="shared" si="112"/>
        <v>8.8867499999999993</v>
      </c>
      <c r="O289" s="617">
        <f t="shared" si="112"/>
        <v>9.1089187499999991</v>
      </c>
    </row>
    <row r="290" spans="2:15">
      <c r="D290" s="364" t="s">
        <v>234</v>
      </c>
      <c r="F290" s="385"/>
      <c r="G290" s="386"/>
      <c r="H290" s="364"/>
      <c r="I290" s="364"/>
      <c r="J290" s="364"/>
      <c r="K290" s="617">
        <f>K287+K288-K289</f>
        <v>124.19999999999999</v>
      </c>
      <c r="L290" s="617">
        <f t="shared" ref="L290:O290" si="113">L287+L288-L289</f>
        <v>115.85999999999999</v>
      </c>
      <c r="M290" s="617">
        <f t="shared" si="113"/>
        <v>109.85799999999999</v>
      </c>
      <c r="N290" s="617">
        <f t="shared" si="113"/>
        <v>105.44315</v>
      </c>
      <c r="O290" s="617">
        <f t="shared" si="113"/>
        <v>102.35018874999999</v>
      </c>
    </row>
    <row r="291" spans="2:15">
      <c r="D291" s="405" t="s">
        <v>235</v>
      </c>
      <c r="F291" s="385"/>
      <c r="G291" s="384" t="s">
        <v>149</v>
      </c>
      <c r="H291" s="375"/>
      <c r="I291" s="375"/>
      <c r="J291" s="375"/>
      <c r="K291" s="622">
        <f>K290*$F$285</f>
        <v>24.84</v>
      </c>
      <c r="L291" s="622">
        <f t="shared" ref="L291:O291" si="114">L290*$F$285</f>
        <v>23.171999999999997</v>
      </c>
      <c r="M291" s="622">
        <f t="shared" si="114"/>
        <v>21.971599999999999</v>
      </c>
      <c r="N291" s="622">
        <f t="shared" si="114"/>
        <v>21.088630000000002</v>
      </c>
      <c r="O291" s="622">
        <f t="shared" si="114"/>
        <v>20.470037749999999</v>
      </c>
    </row>
    <row r="292" spans="2:15">
      <c r="D292" s="390" t="s">
        <v>236</v>
      </c>
      <c r="F292" s="388"/>
      <c r="G292" s="406"/>
      <c r="H292" s="407"/>
      <c r="I292" s="407"/>
      <c r="J292" s="407"/>
      <c r="K292" s="621">
        <f>K287+K288-K291</f>
        <v>107.35999999999999</v>
      </c>
      <c r="L292" s="621">
        <f t="shared" ref="L292:O292" si="115">L287+L288-L291</f>
        <v>101.18799999999999</v>
      </c>
      <c r="M292" s="621">
        <f t="shared" si="115"/>
        <v>96.556399999999996</v>
      </c>
      <c r="N292" s="621">
        <f t="shared" si="115"/>
        <v>93.241269999999986</v>
      </c>
      <c r="O292" s="621">
        <f t="shared" si="115"/>
        <v>90.989069749999985</v>
      </c>
    </row>
    <row r="293" spans="2:15" ht="6" customHeight="1">
      <c r="B293" s="41"/>
      <c r="C293" s="41"/>
      <c r="D293" s="41"/>
      <c r="E293" s="408"/>
      <c r="F293" s="408"/>
      <c r="G293" s="409"/>
      <c r="H293" s="409"/>
      <c r="I293" s="409"/>
      <c r="J293" s="409"/>
      <c r="K293" s="409"/>
      <c r="L293" s="409"/>
      <c r="M293" s="409"/>
      <c r="N293" s="409"/>
      <c r="O293" s="41"/>
    </row>
    <row r="295" spans="2:15" ht="12.75" customHeight="1">
      <c r="B295" s="19"/>
      <c r="C295" s="21"/>
      <c r="D295" s="21"/>
      <c r="E295" s="21"/>
      <c r="F295" s="21"/>
      <c r="G295" s="21"/>
      <c r="H295" s="21"/>
      <c r="I295" s="21"/>
      <c r="J295" s="21"/>
      <c r="K295" s="21"/>
      <c r="L295" s="21"/>
      <c r="M295" s="21"/>
      <c r="N295" s="21"/>
      <c r="O295" s="247" t="str">
        <f>O249</f>
        <v>currently running: Base Case scenario mofo</v>
      </c>
    </row>
    <row r="296" spans="2:15" ht="23.25">
      <c r="B296" s="19" t="str">
        <f>B2</f>
        <v>Your Company Name</v>
      </c>
      <c r="C296" s="21"/>
      <c r="D296" s="21"/>
      <c r="E296" s="21"/>
      <c r="F296" s="21"/>
      <c r="G296" s="21"/>
      <c r="H296" s="21"/>
      <c r="I296" s="21"/>
      <c r="J296" s="21"/>
      <c r="K296" s="21"/>
      <c r="L296" s="21"/>
      <c r="M296" s="21"/>
      <c r="N296" s="21"/>
      <c r="O296" s="21"/>
    </row>
    <row r="297" spans="2:15" ht="18.75">
      <c r="B297" s="196" t="s">
        <v>59</v>
      </c>
      <c r="C297" s="24"/>
      <c r="D297" s="24"/>
      <c r="E297" s="24"/>
      <c r="F297" s="24"/>
      <c r="G297" s="24"/>
      <c r="H297" s="24"/>
      <c r="I297" s="24"/>
      <c r="J297" s="24"/>
      <c r="K297" s="24"/>
      <c r="L297" s="24"/>
      <c r="M297" s="24"/>
      <c r="N297" s="24"/>
      <c r="O297" s="24"/>
    </row>
    <row r="298" spans="2:15" ht="6" customHeight="1" thickBot="1">
      <c r="B298" s="200"/>
      <c r="C298" s="308"/>
      <c r="D298" s="308"/>
      <c r="E298" s="308"/>
      <c r="F298" s="308"/>
      <c r="G298" s="308"/>
      <c r="H298" s="308"/>
      <c r="I298" s="308"/>
      <c r="J298" s="308"/>
      <c r="K298" s="308"/>
      <c r="L298" s="308"/>
      <c r="M298" s="308"/>
      <c r="N298" s="308"/>
      <c r="O298" s="308"/>
    </row>
    <row r="299" spans="2:15">
      <c r="B299" s="310" t="s">
        <v>219</v>
      </c>
      <c r="F299" s="22"/>
      <c r="O299" s="32"/>
    </row>
    <row r="300" spans="2:15">
      <c r="F300" s="22"/>
      <c r="H300" s="24"/>
      <c r="I300" s="24"/>
      <c r="J300" s="24"/>
      <c r="K300" s="204" t="s">
        <v>5</v>
      </c>
      <c r="L300" s="62"/>
      <c r="M300" s="62"/>
      <c r="N300" s="62"/>
      <c r="O300" s="62"/>
    </row>
    <row r="301" spans="2:15">
      <c r="F301" s="22"/>
      <c r="G301" s="312"/>
      <c r="H301" s="383"/>
      <c r="I301" s="248">
        <f>I7</f>
        <v>2018</v>
      </c>
      <c r="J301" s="249">
        <f>J7</f>
        <v>2019</v>
      </c>
      <c r="K301" s="313">
        <f>K$7</f>
        <v>2020</v>
      </c>
      <c r="L301" s="313">
        <f>L$7</f>
        <v>2021</v>
      </c>
      <c r="M301" s="313">
        <f>M$7</f>
        <v>2022</v>
      </c>
      <c r="N301" s="313">
        <f>N$7</f>
        <v>2023</v>
      </c>
      <c r="O301" s="313">
        <f>O$7</f>
        <v>2024</v>
      </c>
    </row>
    <row r="302" spans="2:15">
      <c r="F302" s="22"/>
    </row>
    <row r="303" spans="2:15">
      <c r="B303" s="281" t="s">
        <v>154</v>
      </c>
      <c r="C303" s="282"/>
      <c r="D303" s="282"/>
      <c r="E303" s="282"/>
      <c r="F303" s="283" t="s">
        <v>73</v>
      </c>
      <c r="G303" s="282"/>
      <c r="H303" s="282"/>
      <c r="I303" s="282"/>
      <c r="J303" s="630">
        <v>365</v>
      </c>
      <c r="K303" s="630">
        <f>DATE(K301,12,31)-DATE(J301, 12, 31)</f>
        <v>366</v>
      </c>
      <c r="L303" s="630">
        <f t="shared" ref="L303:O303" si="116">DATE(L301,12,31)-DATE(K301, 12, 31)</f>
        <v>365</v>
      </c>
      <c r="M303" s="630">
        <f t="shared" si="116"/>
        <v>365</v>
      </c>
      <c r="N303" s="630">
        <f t="shared" si="116"/>
        <v>365</v>
      </c>
      <c r="O303" s="630">
        <f t="shared" si="116"/>
        <v>366</v>
      </c>
    </row>
    <row r="304" spans="2:15">
      <c r="F304" s="216"/>
    </row>
    <row r="305" spans="2:15">
      <c r="B305" s="234" t="s">
        <v>265</v>
      </c>
      <c r="F305" s="216"/>
    </row>
    <row r="306" spans="2:15">
      <c r="C306" s="22" t="s">
        <v>6</v>
      </c>
      <c r="F306" s="216" t="s">
        <v>216</v>
      </c>
      <c r="J306" s="606">
        <f>J116</f>
        <v>212.2036488</v>
      </c>
      <c r="K306" s="606">
        <f t="shared" ref="K306:O306" si="117">K116</f>
        <v>237.94154999999995</v>
      </c>
      <c r="L306" s="606">
        <f t="shared" si="117"/>
        <v>235.93487757840001</v>
      </c>
      <c r="M306" s="606">
        <f t="shared" si="117"/>
        <v>276.00276885749571</v>
      </c>
      <c r="N306" s="606">
        <f t="shared" si="117"/>
        <v>279.90322869944072</v>
      </c>
      <c r="O306" s="606">
        <f t="shared" si="117"/>
        <v>290.71083344100003</v>
      </c>
    </row>
    <row r="307" spans="2:15">
      <c r="C307" s="22" t="s">
        <v>7</v>
      </c>
      <c r="F307" s="216" t="s">
        <v>216</v>
      </c>
      <c r="J307" s="606">
        <f>J118</f>
        <v>164.84368000000001</v>
      </c>
      <c r="K307" s="606">
        <f t="shared" ref="K307:O307" si="118">K118</f>
        <v>174.97328249999998</v>
      </c>
      <c r="L307" s="606">
        <f t="shared" si="118"/>
        <v>182.80869807599998</v>
      </c>
      <c r="M307" s="606">
        <f t="shared" si="118"/>
        <v>191.06444771902079</v>
      </c>
      <c r="N307" s="606">
        <f t="shared" si="118"/>
        <v>200.74420658847617</v>
      </c>
      <c r="O307" s="606">
        <f t="shared" si="118"/>
        <v>209.19397058549995</v>
      </c>
    </row>
    <row r="308" spans="2:15">
      <c r="F308" s="216"/>
    </row>
    <row r="309" spans="2:15">
      <c r="B309" s="410" t="s">
        <v>31</v>
      </c>
      <c r="C309" s="411"/>
      <c r="F309" s="216"/>
    </row>
    <row r="310" spans="2:15">
      <c r="B310" s="412"/>
      <c r="C310" s="411" t="s">
        <v>18</v>
      </c>
      <c r="F310" s="216" t="s">
        <v>73</v>
      </c>
      <c r="G310" s="413"/>
      <c r="H310" s="414"/>
      <c r="I310" s="414"/>
      <c r="J310" s="594">
        <f>J315/J306*$J$303</f>
        <v>48.6772968250676</v>
      </c>
      <c r="K310" s="594">
        <f>Assumptions!G72</f>
        <v>45</v>
      </c>
      <c r="L310" s="594">
        <f>Assumptions!H72</f>
        <v>40</v>
      </c>
      <c r="M310" s="594">
        <f>Assumptions!I72</f>
        <v>40</v>
      </c>
      <c r="N310" s="594">
        <f>Assumptions!J72</f>
        <v>40</v>
      </c>
      <c r="O310" s="594">
        <f>Assumptions!K72</f>
        <v>40</v>
      </c>
    </row>
    <row r="311" spans="2:15">
      <c r="B311" s="412"/>
      <c r="C311" s="415" t="s">
        <v>32</v>
      </c>
      <c r="F311" s="216" t="s">
        <v>73</v>
      </c>
      <c r="G311" s="413"/>
      <c r="H311" s="414"/>
      <c r="I311" s="414"/>
      <c r="J311" s="594">
        <f>J316/J307*J303</f>
        <v>77.719085135687337</v>
      </c>
      <c r="K311" s="594">
        <f>Assumptions!G73</f>
        <v>70</v>
      </c>
      <c r="L311" s="594">
        <f>Assumptions!H73</f>
        <v>65</v>
      </c>
      <c r="M311" s="594">
        <f>Assumptions!I73</f>
        <v>60</v>
      </c>
      <c r="N311" s="594">
        <f>Assumptions!J73</f>
        <v>60</v>
      </c>
      <c r="O311" s="594">
        <f>Assumptions!K73</f>
        <v>55</v>
      </c>
    </row>
    <row r="312" spans="2:15">
      <c r="B312" s="412"/>
      <c r="C312" s="411" t="s">
        <v>24</v>
      </c>
      <c r="F312" s="216" t="s">
        <v>73</v>
      </c>
      <c r="G312" s="413"/>
      <c r="H312" s="414"/>
      <c r="I312" s="414"/>
      <c r="J312" s="594">
        <f>J317/J307*J303</f>
        <v>40.298784885171209</v>
      </c>
      <c r="K312" s="594">
        <f>Assumptions!G74</f>
        <v>40</v>
      </c>
      <c r="L312" s="594">
        <f>Assumptions!H74</f>
        <v>40</v>
      </c>
      <c r="M312" s="594">
        <f>Assumptions!I74</f>
        <v>40</v>
      </c>
      <c r="N312" s="594">
        <f>Assumptions!J74</f>
        <v>40</v>
      </c>
      <c r="O312" s="594">
        <f>Assumptions!K74</f>
        <v>40</v>
      </c>
    </row>
    <row r="313" spans="2:15">
      <c r="B313" s="416"/>
      <c r="C313" s="411"/>
      <c r="F313" s="216"/>
      <c r="H313" s="373"/>
      <c r="I313" s="373"/>
      <c r="J313" s="373"/>
      <c r="K313" s="373"/>
      <c r="L313" s="373"/>
      <c r="M313" s="373"/>
      <c r="N313" s="373"/>
      <c r="O313" s="373"/>
    </row>
    <row r="314" spans="2:15">
      <c r="B314" s="410" t="s">
        <v>33</v>
      </c>
      <c r="C314" s="411"/>
      <c r="F314" s="216"/>
      <c r="H314" s="373"/>
      <c r="I314" s="373"/>
      <c r="J314" s="373"/>
      <c r="K314" s="373"/>
      <c r="L314" s="373"/>
      <c r="M314" s="373"/>
      <c r="N314" s="373"/>
      <c r="O314" s="373"/>
    </row>
    <row r="315" spans="2:15">
      <c r="B315" s="416"/>
      <c r="C315" s="411" t="s">
        <v>18</v>
      </c>
      <c r="F315" s="216" t="s">
        <v>216</v>
      </c>
      <c r="I315" s="417"/>
      <c r="J315" s="594">
        <f>J193</f>
        <v>28.3</v>
      </c>
      <c r="K315" s="594">
        <f>K306/K303*K310</f>
        <v>29.255108606557371</v>
      </c>
      <c r="L315" s="594">
        <f t="shared" ref="L315:O315" si="119">L306/L303*L310</f>
        <v>25.855876994893151</v>
      </c>
      <c r="M315" s="594">
        <f t="shared" si="119"/>
        <v>30.246878778903643</v>
      </c>
      <c r="N315" s="594">
        <f t="shared" si="119"/>
        <v>30.67432643281542</v>
      </c>
      <c r="O315" s="594">
        <f t="shared" si="119"/>
        <v>31.771675785901646</v>
      </c>
    </row>
    <row r="316" spans="2:15">
      <c r="B316" s="416"/>
      <c r="C316" s="415" t="s">
        <v>32</v>
      </c>
      <c r="F316" s="216" t="s">
        <v>216</v>
      </c>
      <c r="I316" s="417"/>
      <c r="J316" s="594">
        <f>J194</f>
        <v>35.1</v>
      </c>
      <c r="K316" s="594">
        <f>K307/K303*K311</f>
        <v>33.46483545081967</v>
      </c>
      <c r="L316" s="594">
        <f t="shared" ref="L316:O316" si="120">L307/L303*L311</f>
        <v>32.554973629972601</v>
      </c>
      <c r="M316" s="594">
        <f t="shared" si="120"/>
        <v>31.407854419565066</v>
      </c>
      <c r="N316" s="594">
        <f t="shared" si="120"/>
        <v>32.999047658379645</v>
      </c>
      <c r="O316" s="594">
        <f t="shared" si="120"/>
        <v>31.436252410389336</v>
      </c>
    </row>
    <row r="317" spans="2:15">
      <c r="B317" s="416"/>
      <c r="C317" s="411" t="s">
        <v>24</v>
      </c>
      <c r="F317" s="216" t="s">
        <v>216</v>
      </c>
      <c r="I317" s="246"/>
      <c r="J317" s="631">
        <f>J205</f>
        <v>18.2</v>
      </c>
      <c r="K317" s="631">
        <f>K307/K303*K312</f>
        <v>19.122763114754097</v>
      </c>
      <c r="L317" s="631">
        <f t="shared" ref="L317:O317" si="121">L307/L303*L312</f>
        <v>20.033829926136985</v>
      </c>
      <c r="M317" s="631">
        <f t="shared" si="121"/>
        <v>20.938569613043377</v>
      </c>
      <c r="N317" s="631">
        <f t="shared" si="121"/>
        <v>21.999365105586431</v>
      </c>
      <c r="O317" s="631">
        <f t="shared" si="121"/>
        <v>22.8627290257377</v>
      </c>
    </row>
    <row r="318" spans="2:15">
      <c r="B318" s="416"/>
      <c r="C318" s="418" t="s">
        <v>34</v>
      </c>
      <c r="D318" s="234"/>
      <c r="E318" s="234"/>
      <c r="F318" s="237" t="s">
        <v>216</v>
      </c>
      <c r="I318" s="373"/>
      <c r="J318" s="632">
        <f>J315+J316-J317</f>
        <v>45.2</v>
      </c>
      <c r="K318" s="632">
        <f t="shared" ref="K318:O318" si="122">K315+K316-K317</f>
        <v>43.597180942622941</v>
      </c>
      <c r="L318" s="632">
        <f t="shared" si="122"/>
        <v>38.377020698728771</v>
      </c>
      <c r="M318" s="632">
        <f t="shared" si="122"/>
        <v>40.716163585425328</v>
      </c>
      <c r="N318" s="632">
        <f t="shared" si="122"/>
        <v>41.674008985608637</v>
      </c>
      <c r="O318" s="632">
        <f t="shared" si="122"/>
        <v>40.345199170553279</v>
      </c>
    </row>
    <row r="319" spans="2:15">
      <c r="B319" s="416"/>
      <c r="C319" s="411"/>
      <c r="F319" s="216"/>
      <c r="H319" s="373"/>
      <c r="I319" s="373"/>
      <c r="J319" s="373"/>
      <c r="K319" s="373"/>
      <c r="L319" s="373"/>
      <c r="M319" s="373"/>
      <c r="N319" s="373"/>
      <c r="O319" s="373"/>
    </row>
    <row r="320" spans="2:15" ht="13.5" thickBot="1">
      <c r="B320" s="418" t="s">
        <v>164</v>
      </c>
      <c r="C320" s="412"/>
      <c r="F320" s="237" t="s">
        <v>216</v>
      </c>
      <c r="H320" s="373"/>
      <c r="I320" s="373"/>
      <c r="J320" s="419"/>
      <c r="K320" s="601">
        <f>J318-K318</f>
        <v>1.6028190573770615</v>
      </c>
      <c r="L320" s="601">
        <f t="shared" ref="L320:O320" si="123">K318-L318</f>
        <v>5.2201602438941705</v>
      </c>
      <c r="M320" s="601">
        <f t="shared" si="123"/>
        <v>-2.3391428866965569</v>
      </c>
      <c r="N320" s="601">
        <f t="shared" si="123"/>
        <v>-0.95784540018330944</v>
      </c>
      <c r="O320" s="601">
        <f t="shared" si="123"/>
        <v>1.328809815055358</v>
      </c>
    </row>
    <row r="321" spans="2:18" ht="13.5" thickTop="1">
      <c r="B321" s="18"/>
      <c r="C321" s="340"/>
      <c r="F321" s="22"/>
    </row>
    <row r="322" spans="2:18">
      <c r="B322" s="41"/>
      <c r="C322" s="223"/>
      <c r="D322" s="41"/>
      <c r="E322" s="41"/>
      <c r="F322" s="41"/>
      <c r="G322" s="41"/>
      <c r="H322" s="41"/>
      <c r="I322" s="41"/>
      <c r="J322" s="41"/>
      <c r="K322" s="41"/>
      <c r="L322" s="41"/>
      <c r="M322" s="41"/>
      <c r="N322" s="41"/>
      <c r="O322" s="41"/>
      <c r="R322" s="18"/>
    </row>
    <row r="324" spans="2:18" ht="12.75" customHeight="1">
      <c r="B324" s="19"/>
      <c r="C324" s="21"/>
      <c r="D324" s="21"/>
      <c r="E324" s="21"/>
      <c r="F324" s="21"/>
      <c r="G324" s="21"/>
      <c r="H324" s="21"/>
      <c r="I324" s="21"/>
      <c r="J324" s="21"/>
      <c r="K324" s="21"/>
      <c r="L324" s="21"/>
      <c r="M324" s="21"/>
      <c r="N324" s="21"/>
      <c r="O324" s="247" t="str">
        <f>O295</f>
        <v>currently running: Base Case scenario mofo</v>
      </c>
    </row>
    <row r="325" spans="2:18" ht="23.25">
      <c r="B325" s="19" t="str">
        <f>B2</f>
        <v>Your Company Name</v>
      </c>
      <c r="C325" s="21"/>
      <c r="D325" s="21"/>
      <c r="E325" s="21"/>
      <c r="F325" s="21"/>
      <c r="G325" s="21"/>
      <c r="H325" s="21"/>
      <c r="I325" s="21"/>
      <c r="J325" s="21"/>
      <c r="K325" s="21"/>
      <c r="L325" s="21"/>
      <c r="M325" s="21"/>
      <c r="N325" s="21"/>
      <c r="O325" s="21"/>
    </row>
    <row r="326" spans="2:18" ht="18.75">
      <c r="B326" s="196" t="s">
        <v>75</v>
      </c>
      <c r="C326" s="24"/>
      <c r="D326" s="24"/>
      <c r="E326" s="24"/>
      <c r="F326" s="24"/>
      <c r="G326" s="24"/>
      <c r="H326" s="24"/>
      <c r="I326" s="24"/>
      <c r="J326" s="24"/>
      <c r="K326" s="24"/>
      <c r="L326" s="24"/>
      <c r="M326" s="24"/>
      <c r="N326" s="24"/>
      <c r="O326" s="24"/>
    </row>
    <row r="327" spans="2:18" ht="6" customHeight="1" thickBot="1">
      <c r="B327" s="200"/>
      <c r="C327" s="308"/>
      <c r="D327" s="308"/>
      <c r="E327" s="308"/>
      <c r="F327" s="308"/>
      <c r="G327" s="308"/>
      <c r="H327" s="308"/>
      <c r="I327" s="308"/>
      <c r="J327" s="308"/>
      <c r="K327" s="308"/>
      <c r="L327" s="308"/>
      <c r="M327" s="308"/>
      <c r="N327" s="308"/>
      <c r="O327" s="308"/>
    </row>
    <row r="328" spans="2:18">
      <c r="B328" s="309" t="s">
        <v>219</v>
      </c>
      <c r="F328" s="22"/>
      <c r="O328" s="32"/>
    </row>
    <row r="329" spans="2:18">
      <c r="F329" s="22"/>
      <c r="H329" s="24"/>
      <c r="I329" s="24"/>
      <c r="J329" s="24"/>
      <c r="K329" s="204" t="s">
        <v>5</v>
      </c>
      <c r="L329" s="62"/>
      <c r="M329" s="62"/>
      <c r="N329" s="62"/>
      <c r="O329" s="62"/>
    </row>
    <row r="330" spans="2:18">
      <c r="F330" s="22"/>
      <c r="G330" s="312"/>
      <c r="H330" s="420"/>
      <c r="I330" s="420"/>
      <c r="J330" s="249">
        <f>$J$7</f>
        <v>2019</v>
      </c>
      <c r="K330" s="313">
        <f>K$7</f>
        <v>2020</v>
      </c>
      <c r="L330" s="313">
        <f>L$7</f>
        <v>2021</v>
      </c>
      <c r="M330" s="313">
        <f>M$7</f>
        <v>2022</v>
      </c>
      <c r="N330" s="313">
        <f>N$7</f>
        <v>2023</v>
      </c>
      <c r="O330" s="313">
        <f>O$7</f>
        <v>2024</v>
      </c>
    </row>
    <row r="331" spans="2:18" ht="6" customHeight="1"/>
    <row r="332" spans="2:18">
      <c r="B332" s="234" t="s">
        <v>187</v>
      </c>
      <c r="K332" s="421"/>
      <c r="L332" s="421"/>
      <c r="M332" s="421"/>
      <c r="N332" s="421"/>
      <c r="O332" s="421"/>
    </row>
    <row r="333" spans="2:18" ht="6" customHeight="1"/>
    <row r="334" spans="2:18">
      <c r="C334" s="234" t="s">
        <v>17</v>
      </c>
    </row>
    <row r="335" spans="2:18">
      <c r="D335" s="22" t="s">
        <v>77</v>
      </c>
      <c r="K335" s="540">
        <f>J337</f>
        <v>0</v>
      </c>
      <c r="L335" s="540">
        <f>K337</f>
        <v>0</v>
      </c>
      <c r="M335" s="540">
        <f t="shared" ref="M335:O335" si="124">L337</f>
        <v>0</v>
      </c>
      <c r="N335" s="540">
        <f t="shared" si="124"/>
        <v>0</v>
      </c>
      <c r="O335" s="540">
        <f t="shared" si="124"/>
        <v>0</v>
      </c>
    </row>
    <row r="336" spans="2:18">
      <c r="D336" s="22" t="s">
        <v>83</v>
      </c>
      <c r="H336" s="18"/>
      <c r="I336" s="18"/>
      <c r="J336" s="41"/>
      <c r="K336" s="535">
        <f>K176</f>
        <v>0</v>
      </c>
      <c r="L336" s="535">
        <f t="shared" ref="L336:O336" si="125">L176</f>
        <v>0</v>
      </c>
      <c r="M336" s="535">
        <f t="shared" si="125"/>
        <v>0</v>
      </c>
      <c r="N336" s="535">
        <f t="shared" si="125"/>
        <v>3.1647771663847024</v>
      </c>
      <c r="O336" s="535">
        <f t="shared" si="125"/>
        <v>9.0148125545314173</v>
      </c>
    </row>
    <row r="337" spans="2:15">
      <c r="D337" s="22" t="s">
        <v>79</v>
      </c>
      <c r="I337" s="422"/>
      <c r="J337" s="542">
        <f>J192</f>
        <v>0</v>
      </c>
      <c r="K337" s="542">
        <f>SUM(K335)</f>
        <v>0</v>
      </c>
      <c r="L337" s="542">
        <f t="shared" ref="L337:O337" si="126">SUM(L335)</f>
        <v>0</v>
      </c>
      <c r="M337" s="542">
        <f t="shared" si="126"/>
        <v>0</v>
      </c>
      <c r="N337" s="542">
        <f t="shared" si="126"/>
        <v>0</v>
      </c>
      <c r="O337" s="542">
        <f t="shared" si="126"/>
        <v>0</v>
      </c>
    </row>
    <row r="338" spans="2:15" ht="6" customHeight="1"/>
    <row r="339" spans="2:15">
      <c r="D339" s="22" t="s">
        <v>80</v>
      </c>
      <c r="K339" s="548">
        <f>Assumptions!$H$25</f>
        <v>0.02</v>
      </c>
      <c r="L339" s="548">
        <f>Assumptions!$H$25</f>
        <v>0.02</v>
      </c>
      <c r="M339" s="548">
        <f>Assumptions!$H$25</f>
        <v>0.02</v>
      </c>
      <c r="N339" s="548">
        <f>Assumptions!$H$25</f>
        <v>0.02</v>
      </c>
      <c r="O339" s="548">
        <f>Assumptions!$H$25</f>
        <v>0.02</v>
      </c>
    </row>
    <row r="340" spans="2:15">
      <c r="D340" s="234" t="s">
        <v>82</v>
      </c>
      <c r="K340" s="544">
        <f>K339*K335</f>
        <v>0</v>
      </c>
      <c r="L340" s="544">
        <f t="shared" ref="L340:O340" si="127">L339*L335</f>
        <v>0</v>
      </c>
      <c r="M340" s="544">
        <f t="shared" si="127"/>
        <v>0</v>
      </c>
      <c r="N340" s="544">
        <f t="shared" si="127"/>
        <v>0</v>
      </c>
      <c r="O340" s="544">
        <f t="shared" si="127"/>
        <v>0</v>
      </c>
    </row>
    <row r="341" spans="2:15" ht="6" customHeight="1"/>
    <row r="343" spans="2:15">
      <c r="C343" s="234" t="s">
        <v>195</v>
      </c>
    </row>
    <row r="344" spans="2:15">
      <c r="B344" s="286"/>
      <c r="C344" s="18"/>
      <c r="D344" s="18" t="s">
        <v>15</v>
      </c>
      <c r="E344" s="18"/>
      <c r="F344" s="245"/>
      <c r="G344" s="18"/>
      <c r="H344" s="423"/>
      <c r="I344" s="423"/>
      <c r="J344" s="423"/>
      <c r="K344" s="546">
        <f>K159</f>
        <v>44.671086557377023</v>
      </c>
      <c r="L344" s="546">
        <f t="shared" ref="L344:O344" si="128">L159</f>
        <v>39.215868544935091</v>
      </c>
      <c r="M344" s="546">
        <f t="shared" si="128"/>
        <v>56.25486889437294</v>
      </c>
      <c r="N344" s="546">
        <f t="shared" si="128"/>
        <v>54.742385124364645</v>
      </c>
      <c r="O344" s="546">
        <f t="shared" si="128"/>
        <v>60.338089958150427</v>
      </c>
    </row>
    <row r="345" spans="2:15">
      <c r="B345" s="286"/>
      <c r="C345" s="18"/>
      <c r="D345" s="18" t="s">
        <v>151</v>
      </c>
      <c r="E345" s="18"/>
      <c r="F345" s="245"/>
      <c r="G345" s="18"/>
      <c r="H345" s="424"/>
      <c r="I345" s="424"/>
      <c r="J345" s="423"/>
      <c r="K345" s="546">
        <f>K165</f>
        <v>-16</v>
      </c>
      <c r="L345" s="546">
        <f t="shared" ref="L345:O345" si="129">L165</f>
        <v>-17</v>
      </c>
      <c r="M345" s="546">
        <f t="shared" si="129"/>
        <v>-17.34</v>
      </c>
      <c r="N345" s="546">
        <f t="shared" si="129"/>
        <v>-17.773499999999999</v>
      </c>
      <c r="O345" s="546">
        <f t="shared" si="129"/>
        <v>-18.217837499999998</v>
      </c>
    </row>
    <row r="346" spans="2:15">
      <c r="B346" s="286"/>
      <c r="C346" s="18"/>
      <c r="D346" s="18" t="s">
        <v>209</v>
      </c>
      <c r="E346" s="18"/>
      <c r="F346" s="245"/>
      <c r="G346" s="18"/>
      <c r="H346" s="424"/>
      <c r="I346" s="424"/>
      <c r="J346" s="423"/>
      <c r="K346" s="546">
        <f>K360</f>
        <v>-25</v>
      </c>
      <c r="L346" s="546">
        <f t="shared" ref="L346:O346" si="130">L360</f>
        <v>-25</v>
      </c>
      <c r="M346" s="546">
        <f t="shared" si="130"/>
        <v>-25</v>
      </c>
      <c r="N346" s="546">
        <f t="shared" si="130"/>
        <v>-25</v>
      </c>
      <c r="O346" s="546">
        <f t="shared" si="130"/>
        <v>-25</v>
      </c>
    </row>
    <row r="347" spans="2:15">
      <c r="B347" s="286"/>
      <c r="C347" s="18"/>
      <c r="D347" s="18" t="s">
        <v>186</v>
      </c>
      <c r="E347" s="18"/>
      <c r="F347" s="245"/>
      <c r="G347" s="18"/>
      <c r="H347" s="424"/>
      <c r="I347" s="424"/>
      <c r="J347" s="423"/>
      <c r="K347" s="547">
        <f>K391</f>
        <v>-4.6131329316666614</v>
      </c>
      <c r="L347" s="547">
        <f t="shared" ref="L347:O347" si="131">L391</f>
        <v>-3.1697955618748481</v>
      </c>
      <c r="M347" s="547">
        <f t="shared" si="131"/>
        <v>-8.259402356213899</v>
      </c>
      <c r="N347" s="547">
        <f t="shared" si="131"/>
        <v>-7.5636011049095915</v>
      </c>
      <c r="O347" s="547">
        <f t="shared" si="131"/>
        <v>-8.1054399036190148</v>
      </c>
    </row>
    <row r="348" spans="2:15">
      <c r="D348" s="286" t="s">
        <v>208</v>
      </c>
      <c r="K348" s="541">
        <f>SUM(K344:K347)</f>
        <v>-0.94204637428963789</v>
      </c>
      <c r="L348" s="541">
        <f t="shared" ref="L348:O348" si="132">SUM(L344:L347)</f>
        <v>-5.9539270169397565</v>
      </c>
      <c r="M348" s="541">
        <f t="shared" si="132"/>
        <v>5.655466538159045</v>
      </c>
      <c r="N348" s="541">
        <f t="shared" si="132"/>
        <v>4.4052840194550553</v>
      </c>
      <c r="O348" s="541">
        <f t="shared" si="132"/>
        <v>9.0148125545314173</v>
      </c>
    </row>
    <row r="349" spans="2:15">
      <c r="C349" s="234"/>
    </row>
    <row r="350" spans="2:15">
      <c r="D350" s="22" t="s">
        <v>210</v>
      </c>
      <c r="K350" s="540">
        <f>J352</f>
        <v>0</v>
      </c>
      <c r="L350" s="540">
        <f t="shared" ref="L350:O350" si="133">K352</f>
        <v>0.94204637428963789</v>
      </c>
      <c r="M350" s="540">
        <f t="shared" si="133"/>
        <v>6.8959733912293943</v>
      </c>
      <c r="N350" s="540">
        <f t="shared" si="133"/>
        <v>1.2405068530703494</v>
      </c>
      <c r="O350" s="540">
        <f t="shared" si="133"/>
        <v>0</v>
      </c>
    </row>
    <row r="351" spans="2:15">
      <c r="D351" s="22" t="s">
        <v>78</v>
      </c>
      <c r="H351" s="18"/>
      <c r="I351" s="18"/>
      <c r="J351" s="41"/>
      <c r="K351" s="535">
        <f>-MIN((K335+K348), K350)</f>
        <v>0.94204637428963789</v>
      </c>
      <c r="L351" s="535">
        <f t="shared" ref="L351:O351" si="134">-MIN((L335+L348), L350)</f>
        <v>5.9539270169397565</v>
      </c>
      <c r="M351" s="535">
        <f t="shared" si="134"/>
        <v>-5.655466538159045</v>
      </c>
      <c r="N351" s="535">
        <f t="shared" si="134"/>
        <v>-1.2405068530703494</v>
      </c>
      <c r="O351" s="535">
        <f t="shared" si="134"/>
        <v>0</v>
      </c>
    </row>
    <row r="352" spans="2:15">
      <c r="D352" s="22" t="s">
        <v>211</v>
      </c>
      <c r="H352" s="18"/>
      <c r="I352" s="422"/>
      <c r="J352" s="542"/>
      <c r="K352" s="542">
        <f>K350+K351</f>
        <v>0.94204637428963789</v>
      </c>
      <c r="L352" s="542">
        <f t="shared" ref="L352:O352" si="135">L350+L351</f>
        <v>6.8959733912293943</v>
      </c>
      <c r="M352" s="542">
        <f t="shared" si="135"/>
        <v>1.2405068530703494</v>
      </c>
      <c r="N352" s="542">
        <f t="shared" si="135"/>
        <v>0</v>
      </c>
      <c r="O352" s="542">
        <f t="shared" si="135"/>
        <v>0</v>
      </c>
    </row>
    <row r="353" spans="2:15" ht="6" customHeight="1"/>
    <row r="354" spans="2:15">
      <c r="D354" s="22" t="s">
        <v>80</v>
      </c>
      <c r="K354" s="539">
        <f>Assumptions!$H$26</f>
        <v>0.08</v>
      </c>
      <c r="L354" s="539">
        <f>Assumptions!$H$26</f>
        <v>0.08</v>
      </c>
      <c r="M354" s="539">
        <f>Assumptions!$H$26</f>
        <v>0.08</v>
      </c>
      <c r="N354" s="539">
        <f>Assumptions!$H$26</f>
        <v>0.08</v>
      </c>
      <c r="O354" s="539">
        <f>Assumptions!$H$26</f>
        <v>0.08</v>
      </c>
    </row>
    <row r="355" spans="2:15">
      <c r="D355" s="234" t="s">
        <v>81</v>
      </c>
      <c r="H355" s="425"/>
      <c r="K355" s="544">
        <f>K354*K350</f>
        <v>0</v>
      </c>
      <c r="L355" s="544">
        <f t="shared" ref="L355:O355" si="136">L354*L350</f>
        <v>7.5363709943171028E-2</v>
      </c>
      <c r="M355" s="544">
        <f t="shared" si="136"/>
        <v>0.55167787129835155</v>
      </c>
      <c r="N355" s="544">
        <f t="shared" si="136"/>
        <v>9.9240548245627946E-2</v>
      </c>
      <c r="O355" s="544">
        <f t="shared" si="136"/>
        <v>0</v>
      </c>
    </row>
    <row r="356" spans="2:15" ht="6" customHeight="1"/>
    <row r="358" spans="2:15">
      <c r="C358" s="234" t="s">
        <v>196</v>
      </c>
    </row>
    <row r="359" spans="2:15">
      <c r="D359" s="22" t="s">
        <v>77</v>
      </c>
      <c r="K359" s="540">
        <f>J361</f>
        <v>200</v>
      </c>
      <c r="L359" s="540">
        <f t="shared" ref="L359:O359" si="137">K361</f>
        <v>175</v>
      </c>
      <c r="M359" s="540">
        <f t="shared" si="137"/>
        <v>150</v>
      </c>
      <c r="N359" s="540">
        <f t="shared" si="137"/>
        <v>125</v>
      </c>
      <c r="O359" s="540">
        <f t="shared" si="137"/>
        <v>100</v>
      </c>
    </row>
    <row r="360" spans="2:15">
      <c r="D360" s="22" t="s">
        <v>78</v>
      </c>
      <c r="H360" s="18"/>
      <c r="I360" s="18"/>
      <c r="J360" s="41"/>
      <c r="K360" s="543">
        <f>Assumptions!G82</f>
        <v>-25</v>
      </c>
      <c r="L360" s="543">
        <f>Assumptions!H82</f>
        <v>-25</v>
      </c>
      <c r="M360" s="543">
        <f>Assumptions!I82</f>
        <v>-25</v>
      </c>
      <c r="N360" s="543">
        <f>Assumptions!J82</f>
        <v>-25</v>
      </c>
      <c r="O360" s="543">
        <f>Assumptions!K82</f>
        <v>-25</v>
      </c>
    </row>
    <row r="361" spans="2:15">
      <c r="D361" s="22" t="s">
        <v>79</v>
      </c>
      <c r="I361" s="422"/>
      <c r="J361" s="542">
        <f>J210</f>
        <v>200</v>
      </c>
      <c r="K361" s="542">
        <f>K359+K360</f>
        <v>175</v>
      </c>
      <c r="L361" s="542">
        <f t="shared" ref="L361:O361" si="138">L359+L360</f>
        <v>150</v>
      </c>
      <c r="M361" s="542">
        <f t="shared" si="138"/>
        <v>125</v>
      </c>
      <c r="N361" s="542">
        <f t="shared" si="138"/>
        <v>100</v>
      </c>
      <c r="O361" s="542">
        <f t="shared" si="138"/>
        <v>75</v>
      </c>
    </row>
    <row r="362" spans="2:15" ht="6" customHeight="1"/>
    <row r="363" spans="2:15">
      <c r="D363" s="22" t="s">
        <v>80</v>
      </c>
      <c r="K363" s="539">
        <f>Assumptions!$H$27</f>
        <v>0.08</v>
      </c>
      <c r="L363" s="539">
        <f>Assumptions!$H$27</f>
        <v>0.08</v>
      </c>
      <c r="M363" s="539">
        <f>Assumptions!$H$27</f>
        <v>0.08</v>
      </c>
      <c r="N363" s="539">
        <f>Assumptions!$H$27</f>
        <v>0.08</v>
      </c>
      <c r="O363" s="539">
        <f>Assumptions!$H$27</f>
        <v>0.08</v>
      </c>
    </row>
    <row r="364" spans="2:15">
      <c r="D364" s="234" t="s">
        <v>81</v>
      </c>
      <c r="K364" s="544">
        <f>K363*K359</f>
        <v>16</v>
      </c>
      <c r="L364" s="544">
        <f t="shared" ref="L364:O364" si="139">L363*L359</f>
        <v>14</v>
      </c>
      <c r="M364" s="544">
        <f t="shared" si="139"/>
        <v>12</v>
      </c>
      <c r="N364" s="544">
        <f t="shared" si="139"/>
        <v>10</v>
      </c>
      <c r="O364" s="544">
        <f t="shared" si="139"/>
        <v>8</v>
      </c>
    </row>
    <row r="367" spans="2:15" ht="13.5" thickBot="1">
      <c r="C367" s="234" t="s">
        <v>86</v>
      </c>
      <c r="K367" s="545">
        <f>K355+K364-K340</f>
        <v>16</v>
      </c>
      <c r="L367" s="545">
        <f t="shared" ref="L367:O367" si="140">L355+L364-L340</f>
        <v>14.07536370994317</v>
      </c>
      <c r="M367" s="545">
        <f t="shared" si="140"/>
        <v>12.551677871298352</v>
      </c>
      <c r="N367" s="545">
        <f t="shared" si="140"/>
        <v>10.099240548245628</v>
      </c>
      <c r="O367" s="545">
        <f t="shared" si="140"/>
        <v>8</v>
      </c>
    </row>
    <row r="368" spans="2:15" ht="13.5" thickTop="1">
      <c r="B368" s="41"/>
      <c r="C368" s="41"/>
      <c r="D368" s="41"/>
      <c r="E368" s="41"/>
      <c r="F368" s="243"/>
      <c r="G368" s="41"/>
      <c r="H368" s="41"/>
      <c r="I368" s="41"/>
      <c r="J368" s="41"/>
      <c r="K368" s="41"/>
      <c r="L368" s="41"/>
      <c r="M368" s="41"/>
      <c r="N368" s="41"/>
      <c r="O368" s="41"/>
    </row>
    <row r="369" spans="2:15">
      <c r="B369" s="18"/>
      <c r="C369" s="18"/>
      <c r="D369" s="18"/>
      <c r="E369" s="18"/>
      <c r="F369" s="245"/>
      <c r="G369" s="18"/>
      <c r="H369" s="18"/>
      <c r="I369" s="18"/>
      <c r="J369" s="18"/>
      <c r="K369" s="18"/>
      <c r="L369" s="18"/>
      <c r="M369" s="18"/>
      <c r="N369" s="18"/>
      <c r="O369" s="18"/>
    </row>
    <row r="370" spans="2:15" ht="12.75" customHeight="1">
      <c r="B370" s="19"/>
      <c r="C370" s="21"/>
      <c r="D370" s="21"/>
      <c r="E370" s="21"/>
      <c r="F370" s="21"/>
      <c r="G370" s="21"/>
      <c r="H370" s="21"/>
      <c r="I370" s="21"/>
      <c r="J370" s="21"/>
      <c r="K370" s="21"/>
      <c r="L370" s="21"/>
      <c r="M370" s="21"/>
      <c r="N370" s="21"/>
      <c r="O370" s="247" t="str">
        <f>O324</f>
        <v>currently running: Base Case scenario mofo</v>
      </c>
    </row>
    <row r="371" spans="2:15" ht="23.25">
      <c r="B371" s="19" t="str">
        <f>B325</f>
        <v>Your Company Name</v>
      </c>
      <c r="C371" s="21"/>
      <c r="D371" s="21"/>
      <c r="E371" s="21"/>
      <c r="F371" s="21"/>
      <c r="G371" s="21"/>
      <c r="H371" s="21"/>
      <c r="I371" s="21"/>
      <c r="J371" s="21"/>
      <c r="K371" s="21"/>
      <c r="L371" s="21"/>
      <c r="M371" s="21"/>
      <c r="N371" s="21"/>
      <c r="O371" s="21"/>
    </row>
    <row r="372" spans="2:15" ht="18.75">
      <c r="B372" s="196" t="s">
        <v>165</v>
      </c>
      <c r="C372" s="24"/>
      <c r="D372" s="24"/>
      <c r="E372" s="24"/>
      <c r="F372" s="24"/>
      <c r="G372" s="24"/>
      <c r="H372" s="24"/>
      <c r="I372" s="24"/>
      <c r="J372" s="24"/>
      <c r="K372" s="24"/>
      <c r="L372" s="24"/>
      <c r="M372" s="24"/>
      <c r="N372" s="24"/>
      <c r="O372" s="24"/>
    </row>
    <row r="373" spans="2:15" ht="6" customHeight="1" thickBot="1">
      <c r="B373" s="200"/>
      <c r="C373" s="308"/>
      <c r="D373" s="308"/>
      <c r="E373" s="308"/>
      <c r="F373" s="308"/>
      <c r="G373" s="308"/>
      <c r="H373" s="308"/>
      <c r="I373" s="308"/>
      <c r="J373" s="308"/>
      <c r="K373" s="308"/>
      <c r="L373" s="308"/>
      <c r="M373" s="308"/>
      <c r="N373" s="308"/>
      <c r="O373" s="308"/>
    </row>
    <row r="374" spans="2:15">
      <c r="B374" s="309" t="s">
        <v>219</v>
      </c>
      <c r="F374" s="22"/>
      <c r="O374" s="32"/>
    </row>
    <row r="375" spans="2:15">
      <c r="F375" s="22"/>
      <c r="H375" s="24"/>
      <c r="I375" s="24"/>
      <c r="J375" s="24"/>
      <c r="K375" s="204" t="s">
        <v>5</v>
      </c>
      <c r="L375" s="62"/>
      <c r="M375" s="62"/>
      <c r="N375" s="62"/>
      <c r="O375" s="62"/>
    </row>
    <row r="376" spans="2:15">
      <c r="F376" s="22"/>
      <c r="G376" s="312"/>
      <c r="H376" s="420"/>
      <c r="I376" s="420"/>
      <c r="J376" s="249">
        <f>$J$7</f>
        <v>2019</v>
      </c>
      <c r="K376" s="313">
        <f>K$7</f>
        <v>2020</v>
      </c>
      <c r="L376" s="313">
        <f>L$7</f>
        <v>2021</v>
      </c>
      <c r="M376" s="313">
        <f>M$7</f>
        <v>2022</v>
      </c>
      <c r="N376" s="313">
        <f>N$7</f>
        <v>2023</v>
      </c>
      <c r="O376" s="313">
        <f>O$7</f>
        <v>2024</v>
      </c>
    </row>
    <row r="378" spans="2:15" ht="13.15" customHeight="1">
      <c r="B378" s="234"/>
      <c r="C378" s="234" t="s">
        <v>166</v>
      </c>
      <c r="D378" s="18"/>
      <c r="E378" s="18"/>
      <c r="F378" s="245"/>
      <c r="G378" s="18"/>
      <c r="H378" s="18"/>
      <c r="I378" s="18"/>
      <c r="J378" s="18"/>
      <c r="K378" s="18"/>
      <c r="L378" s="18"/>
      <c r="M378" s="18"/>
      <c r="N378" s="18"/>
      <c r="O378" s="18"/>
    </row>
    <row r="379" spans="2:15" ht="13.15" customHeight="1">
      <c r="D379" s="22" t="s">
        <v>77</v>
      </c>
      <c r="E379" s="18"/>
      <c r="F379" s="245"/>
      <c r="G379" s="216"/>
      <c r="H379" s="18"/>
      <c r="I379" s="18"/>
      <c r="J379" s="18"/>
      <c r="K379" s="540">
        <f>J381</f>
        <v>120</v>
      </c>
      <c r="L379" s="540">
        <f t="shared" ref="L379:O379" si="141">K381</f>
        <v>120</v>
      </c>
      <c r="M379" s="540">
        <f t="shared" si="141"/>
        <v>120</v>
      </c>
      <c r="N379" s="540">
        <f t="shared" si="141"/>
        <v>120</v>
      </c>
      <c r="O379" s="540">
        <f t="shared" si="141"/>
        <v>120</v>
      </c>
    </row>
    <row r="380" spans="2:15" ht="13.15" customHeight="1">
      <c r="D380" s="22" t="s">
        <v>179</v>
      </c>
      <c r="E380" s="18"/>
      <c r="F380" s="245"/>
      <c r="G380" s="18"/>
      <c r="H380" s="18"/>
      <c r="I380" s="18"/>
      <c r="J380" s="41"/>
      <c r="K380" s="543">
        <f>Assumptions!G84</f>
        <v>0</v>
      </c>
      <c r="L380" s="543">
        <f>Assumptions!H84</f>
        <v>0</v>
      </c>
      <c r="M380" s="543">
        <f>Assumptions!I84</f>
        <v>0</v>
      </c>
      <c r="N380" s="543">
        <f>Assumptions!J84</f>
        <v>0</v>
      </c>
      <c r="O380" s="543">
        <f>Assumptions!K84</f>
        <v>0</v>
      </c>
    </row>
    <row r="381" spans="2:15" ht="13.15" customHeight="1">
      <c r="D381" s="22" t="s">
        <v>79</v>
      </c>
      <c r="E381" s="18"/>
      <c r="F381" s="245"/>
      <c r="G381" s="18"/>
      <c r="H381" s="18"/>
      <c r="I381" s="18"/>
      <c r="J381" s="542">
        <f>J215</f>
        <v>120</v>
      </c>
      <c r="K381" s="542">
        <f>K379+K380</f>
        <v>120</v>
      </c>
      <c r="L381" s="542">
        <f t="shared" ref="L381:O381" si="142">L379+L380</f>
        <v>120</v>
      </c>
      <c r="M381" s="542">
        <f t="shared" si="142"/>
        <v>120</v>
      </c>
      <c r="N381" s="542">
        <f t="shared" si="142"/>
        <v>120</v>
      </c>
      <c r="O381" s="542">
        <f t="shared" si="142"/>
        <v>120</v>
      </c>
    </row>
    <row r="382" spans="2:15" ht="6" customHeight="1">
      <c r="D382" s="18"/>
      <c r="E382" s="18"/>
      <c r="F382" s="245"/>
      <c r="G382" s="18"/>
      <c r="H382" s="18"/>
      <c r="I382" s="18"/>
      <c r="J382" s="18"/>
      <c r="K382" s="18"/>
      <c r="L382" s="18"/>
      <c r="M382" s="18"/>
      <c r="N382" s="18"/>
      <c r="O382" s="18"/>
    </row>
    <row r="383" spans="2:15" ht="13.15" customHeight="1">
      <c r="C383" s="291"/>
      <c r="D383" s="291" t="s">
        <v>167</v>
      </c>
      <c r="E383" s="18"/>
      <c r="F383" s="245"/>
      <c r="G383" s="18"/>
      <c r="H383" s="18"/>
      <c r="I383" s="18"/>
      <c r="J383" s="18"/>
      <c r="K383" s="539">
        <f>Assumptions!$N$8</f>
        <v>0.2</v>
      </c>
      <c r="L383" s="539">
        <f>Assumptions!$N$8</f>
        <v>0.2</v>
      </c>
      <c r="M383" s="539">
        <f>Assumptions!$N$8</f>
        <v>0.2</v>
      </c>
      <c r="N383" s="539">
        <f>Assumptions!$N$8</f>
        <v>0.2</v>
      </c>
      <c r="O383" s="539">
        <f>Assumptions!$N$8</f>
        <v>0.2</v>
      </c>
    </row>
    <row r="384" spans="2:15" ht="13.15" customHeight="1">
      <c r="C384" s="291"/>
      <c r="D384" s="291" t="s">
        <v>11</v>
      </c>
      <c r="E384" s="18"/>
      <c r="F384" s="245"/>
      <c r="G384" s="18"/>
      <c r="H384" s="18"/>
      <c r="I384" s="18"/>
      <c r="J384" s="18"/>
      <c r="K384" s="540">
        <f>K135</f>
        <v>23.065664658333304</v>
      </c>
      <c r="L384" s="540">
        <f t="shared" ref="L384:O384" si="143">L135</f>
        <v>15.84897780937424</v>
      </c>
      <c r="M384" s="540">
        <f t="shared" si="143"/>
        <v>41.297011781069493</v>
      </c>
      <c r="N384" s="540">
        <f t="shared" si="143"/>
        <v>37.818005524547956</v>
      </c>
      <c r="O384" s="540">
        <f t="shared" si="143"/>
        <v>40.527199518095074</v>
      </c>
    </row>
    <row r="385" spans="2:15" ht="13.15" customHeight="1">
      <c r="C385" s="234"/>
      <c r="D385" s="234" t="s">
        <v>168</v>
      </c>
      <c r="E385" s="18"/>
      <c r="F385" s="245"/>
      <c r="G385" s="18"/>
      <c r="H385" s="18"/>
      <c r="I385" s="18"/>
      <c r="J385" s="18"/>
      <c r="K385" s="544">
        <f>MAX((K384*K383),0)</f>
        <v>4.6131329316666614</v>
      </c>
      <c r="L385" s="544">
        <f t="shared" ref="L385:O385" si="144">MAX((L384*L383),0)</f>
        <v>3.1697955618748481</v>
      </c>
      <c r="M385" s="544">
        <f t="shared" si="144"/>
        <v>8.259402356213899</v>
      </c>
      <c r="N385" s="544">
        <f t="shared" si="144"/>
        <v>7.5636011049095915</v>
      </c>
      <c r="O385" s="544">
        <f t="shared" si="144"/>
        <v>8.1054399036190148</v>
      </c>
    </row>
    <row r="386" spans="2:15">
      <c r="B386" s="18"/>
      <c r="C386" s="18"/>
      <c r="D386" s="18"/>
      <c r="E386" s="18"/>
      <c r="F386" s="245"/>
      <c r="G386" s="18"/>
      <c r="H386" s="18"/>
      <c r="I386" s="18"/>
      <c r="J386" s="18"/>
      <c r="K386" s="18"/>
      <c r="L386" s="18"/>
      <c r="M386" s="18"/>
      <c r="N386" s="18"/>
      <c r="O386" s="18"/>
    </row>
    <row r="387" spans="2:15">
      <c r="B387" s="18"/>
      <c r="C387" s="18"/>
      <c r="D387" s="18"/>
      <c r="E387" s="18"/>
      <c r="F387" s="245"/>
      <c r="G387" s="18"/>
      <c r="H387" s="18"/>
      <c r="I387" s="18"/>
      <c r="J387" s="18"/>
      <c r="K387" s="18"/>
      <c r="L387" s="18"/>
      <c r="M387" s="18"/>
      <c r="N387" s="18"/>
      <c r="O387" s="18"/>
    </row>
    <row r="388" spans="2:15" ht="13.15" customHeight="1">
      <c r="B388" s="234"/>
      <c r="C388" s="234" t="s">
        <v>169</v>
      </c>
      <c r="D388" s="18"/>
      <c r="E388" s="18"/>
      <c r="F388" s="245"/>
      <c r="G388" s="18"/>
      <c r="H388" s="18"/>
      <c r="I388" s="18"/>
      <c r="J388" s="18"/>
      <c r="K388" s="18"/>
      <c r="L388" s="18"/>
      <c r="M388" s="18"/>
      <c r="N388" s="18"/>
      <c r="O388" s="18"/>
    </row>
    <row r="389" spans="2:15" ht="13.15" customHeight="1">
      <c r="D389" s="22" t="s">
        <v>77</v>
      </c>
      <c r="E389" s="18"/>
      <c r="F389" s="245"/>
      <c r="G389" s="18"/>
      <c r="H389" s="18"/>
      <c r="I389" s="18"/>
      <c r="J389" s="18"/>
      <c r="K389" s="540">
        <f>J392</f>
        <v>111.6</v>
      </c>
      <c r="L389" s="540">
        <f t="shared" ref="L389:O389" si="145">K392</f>
        <v>130.05253172666664</v>
      </c>
      <c r="M389" s="540">
        <f t="shared" si="145"/>
        <v>142.73171397416604</v>
      </c>
      <c r="N389" s="540">
        <f t="shared" si="145"/>
        <v>175.76932339902163</v>
      </c>
      <c r="O389" s="540">
        <f t="shared" si="145"/>
        <v>206.02372781866001</v>
      </c>
    </row>
    <row r="390" spans="2:15" ht="13.15" customHeight="1">
      <c r="D390" s="22" t="s">
        <v>11</v>
      </c>
      <c r="E390" s="18"/>
      <c r="F390" s="245"/>
      <c r="G390" s="18"/>
      <c r="H390" s="18"/>
      <c r="I390" s="18"/>
      <c r="J390" s="18"/>
      <c r="K390" s="540">
        <f>K384</f>
        <v>23.065664658333304</v>
      </c>
      <c r="L390" s="540">
        <f t="shared" ref="L390:O390" si="146">L384</f>
        <v>15.84897780937424</v>
      </c>
      <c r="M390" s="540">
        <f t="shared" si="146"/>
        <v>41.297011781069493</v>
      </c>
      <c r="N390" s="540">
        <f t="shared" si="146"/>
        <v>37.818005524547956</v>
      </c>
      <c r="O390" s="540">
        <f t="shared" si="146"/>
        <v>40.527199518095074</v>
      </c>
    </row>
    <row r="391" spans="2:15" ht="13.15" customHeight="1">
      <c r="D391" s="22" t="s">
        <v>168</v>
      </c>
      <c r="E391" s="18"/>
      <c r="F391" s="245"/>
      <c r="G391" s="18"/>
      <c r="H391" s="18"/>
      <c r="I391" s="18"/>
      <c r="J391" s="41"/>
      <c r="K391" s="535">
        <f>-K385</f>
        <v>-4.6131329316666614</v>
      </c>
      <c r="L391" s="535">
        <f t="shared" ref="L391:O391" si="147">-L385</f>
        <v>-3.1697955618748481</v>
      </c>
      <c r="M391" s="535">
        <f t="shared" si="147"/>
        <v>-8.259402356213899</v>
      </c>
      <c r="N391" s="535">
        <f t="shared" si="147"/>
        <v>-7.5636011049095915</v>
      </c>
      <c r="O391" s="535">
        <f t="shared" si="147"/>
        <v>-8.1054399036190148</v>
      </c>
    </row>
    <row r="392" spans="2:15" ht="13.15" customHeight="1">
      <c r="D392" s="234" t="s">
        <v>79</v>
      </c>
      <c r="E392" s="286"/>
      <c r="F392" s="354"/>
      <c r="G392" s="286"/>
      <c r="H392" s="286"/>
      <c r="I392" s="286"/>
      <c r="J392" s="541">
        <f>J216</f>
        <v>111.6</v>
      </c>
      <c r="K392" s="541">
        <f>SUM(K389:K391)</f>
        <v>130.05253172666664</v>
      </c>
      <c r="L392" s="541">
        <f t="shared" ref="L392:O392" si="148">SUM(L389:L391)</f>
        <v>142.73171397416604</v>
      </c>
      <c r="M392" s="541">
        <f t="shared" si="148"/>
        <v>175.76932339902163</v>
      </c>
      <c r="N392" s="541">
        <f t="shared" si="148"/>
        <v>206.02372781866001</v>
      </c>
      <c r="O392" s="541">
        <f t="shared" si="148"/>
        <v>238.44548743313607</v>
      </c>
    </row>
    <row r="393" spans="2:15">
      <c r="B393" s="18"/>
      <c r="C393" s="18"/>
      <c r="D393" s="18"/>
      <c r="E393" s="18"/>
      <c r="F393" s="245"/>
      <c r="G393" s="18"/>
      <c r="H393" s="18"/>
      <c r="I393" s="18"/>
      <c r="J393" s="18"/>
      <c r="K393" s="18"/>
      <c r="L393" s="18"/>
      <c r="M393" s="18"/>
      <c r="N393" s="18"/>
      <c r="O393" s="18"/>
    </row>
    <row r="394" spans="2:15">
      <c r="B394" s="18"/>
      <c r="C394" s="18"/>
      <c r="D394" s="18"/>
      <c r="E394" s="18"/>
      <c r="F394" s="245"/>
      <c r="G394" s="18"/>
      <c r="H394" s="18"/>
      <c r="I394" s="18"/>
      <c r="J394" s="18"/>
      <c r="K394" s="18"/>
      <c r="L394" s="18"/>
      <c r="M394" s="18"/>
      <c r="N394" s="18"/>
      <c r="O394" s="18"/>
    </row>
    <row r="395" spans="2:15">
      <c r="B395" s="18"/>
      <c r="C395" s="286" t="s">
        <v>176</v>
      </c>
      <c r="D395" s="18"/>
      <c r="E395" s="18"/>
      <c r="F395" s="245"/>
      <c r="G395" s="18"/>
      <c r="H395" s="18"/>
      <c r="I395" s="18"/>
      <c r="J395" s="18"/>
      <c r="K395" s="18"/>
      <c r="L395" s="18"/>
      <c r="M395" s="18"/>
      <c r="N395" s="18"/>
      <c r="O395" s="18"/>
    </row>
    <row r="396" spans="2:15">
      <c r="B396" s="18"/>
      <c r="C396" s="286"/>
      <c r="D396" s="18" t="s">
        <v>177</v>
      </c>
      <c r="E396" s="18"/>
      <c r="F396" s="245"/>
      <c r="G396" s="18"/>
      <c r="H396" s="18"/>
      <c r="I396" s="18"/>
      <c r="J396" s="18"/>
      <c r="K396" s="539">
        <f>Assumptions!$N$10</f>
        <v>0.15</v>
      </c>
      <c r="L396" s="539">
        <f>Assumptions!$N$10</f>
        <v>0.15</v>
      </c>
      <c r="M396" s="539">
        <f>Assumptions!$N$10</f>
        <v>0.15</v>
      </c>
      <c r="N396" s="539">
        <f>Assumptions!$N$10</f>
        <v>0.15</v>
      </c>
      <c r="O396" s="539">
        <f>Assumptions!$N$10</f>
        <v>0.15</v>
      </c>
    </row>
    <row r="397" spans="2:15">
      <c r="B397" s="18"/>
      <c r="C397" s="286"/>
      <c r="D397" s="18" t="s">
        <v>178</v>
      </c>
      <c r="E397" s="18"/>
      <c r="F397" s="245"/>
      <c r="G397" s="18"/>
      <c r="H397" s="18"/>
      <c r="I397" s="18"/>
      <c r="J397" s="537">
        <f>Assumptions!N7</f>
        <v>10.8</v>
      </c>
      <c r="K397" s="538">
        <f>J397*(1+K396)</f>
        <v>12.42</v>
      </c>
      <c r="L397" s="538">
        <f t="shared" ref="L397:O397" si="149">K397*(1+L396)</f>
        <v>14.282999999999999</v>
      </c>
      <c r="M397" s="538">
        <f t="shared" si="149"/>
        <v>16.425449999999998</v>
      </c>
      <c r="N397" s="538">
        <f t="shared" si="149"/>
        <v>18.889267499999995</v>
      </c>
      <c r="O397" s="538">
        <f t="shared" si="149"/>
        <v>21.722657624999993</v>
      </c>
    </row>
    <row r="398" spans="2:15">
      <c r="B398" s="18"/>
      <c r="C398" s="286"/>
      <c r="D398" s="18"/>
      <c r="E398" s="18"/>
      <c r="F398" s="245"/>
      <c r="G398" s="18"/>
      <c r="H398" s="18"/>
      <c r="I398" s="18"/>
      <c r="J398" s="18"/>
      <c r="K398" s="18"/>
      <c r="L398" s="18"/>
      <c r="M398" s="18"/>
      <c r="N398" s="18"/>
      <c r="O398" s="18"/>
    </row>
    <row r="399" spans="2:15">
      <c r="B399" s="18"/>
      <c r="C399" s="18"/>
      <c r="D399" s="70" t="s">
        <v>180</v>
      </c>
      <c r="E399" s="70"/>
      <c r="F399" s="426"/>
      <c r="G399" s="70"/>
      <c r="H399" s="70"/>
      <c r="I399" s="70"/>
      <c r="J399" s="70"/>
      <c r="K399" s="534">
        <f>J402</f>
        <v>14.8</v>
      </c>
      <c r="L399" s="534">
        <f t="shared" ref="L399:O399" si="150">K402</f>
        <v>14.8</v>
      </c>
      <c r="M399" s="534">
        <f t="shared" si="150"/>
        <v>14.8</v>
      </c>
      <c r="N399" s="534">
        <f t="shared" si="150"/>
        <v>14.8</v>
      </c>
      <c r="O399" s="534">
        <f t="shared" si="150"/>
        <v>14.8</v>
      </c>
    </row>
    <row r="400" spans="2:15">
      <c r="B400" s="18"/>
      <c r="C400" s="18"/>
      <c r="D400" s="22" t="s">
        <v>179</v>
      </c>
      <c r="E400" s="70"/>
      <c r="F400" s="426"/>
      <c r="G400" s="70"/>
      <c r="H400" s="70"/>
      <c r="I400" s="70"/>
      <c r="J400" s="427"/>
      <c r="K400" s="534">
        <f>K380/K397</f>
        <v>0</v>
      </c>
      <c r="L400" s="534">
        <f t="shared" ref="L400:O400" si="151">L380/L397</f>
        <v>0</v>
      </c>
      <c r="M400" s="534">
        <f t="shared" si="151"/>
        <v>0</v>
      </c>
      <c r="N400" s="534">
        <f t="shared" si="151"/>
        <v>0</v>
      </c>
      <c r="O400" s="534">
        <f t="shared" si="151"/>
        <v>0</v>
      </c>
    </row>
    <row r="401" spans="2:15">
      <c r="B401" s="18"/>
      <c r="C401" s="18"/>
      <c r="D401" s="22" t="s">
        <v>182</v>
      </c>
      <c r="E401" s="70"/>
      <c r="F401" s="426"/>
      <c r="G401" s="70"/>
      <c r="H401" s="70"/>
      <c r="I401" s="70"/>
      <c r="J401" s="428"/>
      <c r="K401" s="543">
        <f>Assumptions!G85</f>
        <v>0</v>
      </c>
      <c r="L401" s="543">
        <f>Assumptions!H85</f>
        <v>0</v>
      </c>
      <c r="M401" s="543">
        <f>Assumptions!I85</f>
        <v>0</v>
      </c>
      <c r="N401" s="543">
        <f>Assumptions!J85</f>
        <v>0</v>
      </c>
      <c r="O401" s="543">
        <f>Assumptions!K85</f>
        <v>0</v>
      </c>
    </row>
    <row r="402" spans="2:15">
      <c r="B402" s="18"/>
      <c r="C402" s="18"/>
      <c r="D402" s="70" t="s">
        <v>181</v>
      </c>
      <c r="E402" s="70"/>
      <c r="F402" s="426"/>
      <c r="G402" s="70"/>
      <c r="H402" s="70"/>
      <c r="I402" s="70"/>
      <c r="J402" s="536">
        <f>Assumptions!N9</f>
        <v>14.8</v>
      </c>
      <c r="K402" s="534">
        <f>K399+K400+K401</f>
        <v>14.8</v>
      </c>
      <c r="L402" s="534">
        <f t="shared" ref="L402:O402" si="152">L399+L400+L401</f>
        <v>14.8</v>
      </c>
      <c r="M402" s="534">
        <f t="shared" si="152"/>
        <v>14.8</v>
      </c>
      <c r="N402" s="534">
        <f t="shared" si="152"/>
        <v>14.8</v>
      </c>
      <c r="O402" s="534">
        <f t="shared" si="152"/>
        <v>14.8</v>
      </c>
    </row>
    <row r="403" spans="2:15" ht="6" customHeight="1">
      <c r="B403" s="18"/>
      <c r="C403" s="18"/>
      <c r="D403" s="429"/>
      <c r="E403" s="70"/>
      <c r="F403" s="426"/>
      <c r="G403" s="70"/>
      <c r="H403" s="70"/>
      <c r="I403" s="70"/>
      <c r="J403" s="430"/>
      <c r="K403" s="430"/>
      <c r="L403" s="430"/>
      <c r="M403" s="430"/>
      <c r="N403" s="430"/>
      <c r="O403" s="430"/>
    </row>
    <row r="404" spans="2:15">
      <c r="B404" s="18"/>
      <c r="C404" s="18"/>
      <c r="D404" s="294" t="s">
        <v>255</v>
      </c>
      <c r="E404" s="18"/>
      <c r="F404" s="245"/>
      <c r="G404" s="18"/>
      <c r="H404" s="18"/>
      <c r="I404" s="18"/>
      <c r="J404" s="18"/>
      <c r="K404" s="533">
        <f>AVERAGE(K399,K402)</f>
        <v>14.8</v>
      </c>
      <c r="L404" s="533">
        <f t="shared" ref="L404:O404" si="153">AVERAGE(L399,L402)</f>
        <v>14.8</v>
      </c>
      <c r="M404" s="533">
        <f t="shared" si="153"/>
        <v>14.8</v>
      </c>
      <c r="N404" s="533">
        <f t="shared" si="153"/>
        <v>14.8</v>
      </c>
      <c r="O404" s="533">
        <f t="shared" si="153"/>
        <v>14.8</v>
      </c>
    </row>
    <row r="405" spans="2:15">
      <c r="B405" s="41"/>
      <c r="C405" s="41"/>
      <c r="D405" s="41"/>
      <c r="E405" s="41"/>
      <c r="F405" s="243"/>
      <c r="G405" s="41"/>
      <c r="H405" s="41"/>
      <c r="I405" s="41"/>
      <c r="J405" s="41"/>
      <c r="K405" s="41"/>
      <c r="L405" s="41"/>
      <c r="M405" s="41"/>
      <c r="N405" s="41"/>
      <c r="O405" s="41"/>
    </row>
    <row r="406" spans="2:15">
      <c r="B406" s="18"/>
      <c r="C406" s="18"/>
      <c r="D406" s="18"/>
      <c r="E406" s="18"/>
      <c r="F406" s="245"/>
      <c r="G406" s="18"/>
      <c r="H406" s="18"/>
      <c r="I406" s="18"/>
      <c r="J406" s="18"/>
      <c r="K406" s="18"/>
      <c r="L406" s="18"/>
      <c r="M406" s="18"/>
      <c r="N406" s="18"/>
      <c r="O406" s="18"/>
    </row>
    <row r="407" spans="2:15" ht="12.75" customHeight="1">
      <c r="B407" s="19"/>
      <c r="C407" s="21"/>
      <c r="D407" s="21"/>
      <c r="E407" s="21"/>
      <c r="F407" s="21"/>
      <c r="G407" s="21"/>
      <c r="H407" s="21"/>
      <c r="I407" s="21"/>
      <c r="J407" s="21"/>
      <c r="K407" s="21"/>
      <c r="L407" s="21"/>
      <c r="M407" s="21"/>
      <c r="N407" s="21"/>
      <c r="O407" s="247" t="str">
        <f>O295</f>
        <v>currently running: Base Case scenario mofo</v>
      </c>
    </row>
    <row r="408" spans="2:15" ht="23.25">
      <c r="B408" s="19" t="str">
        <f>B2</f>
        <v>Your Company Name</v>
      </c>
      <c r="C408" s="21"/>
      <c r="D408" s="21"/>
      <c r="E408" s="21"/>
      <c r="F408" s="21"/>
      <c r="G408" s="21"/>
      <c r="H408" s="21"/>
      <c r="I408" s="21"/>
      <c r="J408" s="21"/>
      <c r="K408" s="21"/>
      <c r="L408" s="21"/>
      <c r="M408" s="21"/>
      <c r="N408" s="21"/>
      <c r="O408" s="21"/>
    </row>
    <row r="409" spans="2:15" ht="18.75">
      <c r="B409" s="196" t="s">
        <v>129</v>
      </c>
      <c r="C409" s="24"/>
      <c r="D409" s="24"/>
      <c r="E409" s="24"/>
      <c r="F409" s="24"/>
      <c r="G409" s="24"/>
      <c r="H409" s="24"/>
      <c r="I409" s="24"/>
      <c r="J409" s="24"/>
      <c r="K409" s="24"/>
      <c r="L409" s="24"/>
      <c r="M409" s="24"/>
      <c r="N409" s="24"/>
      <c r="O409" s="24"/>
    </row>
    <row r="410" spans="2:15" ht="6" customHeight="1" thickBot="1">
      <c r="B410" s="200"/>
      <c r="C410" s="308"/>
      <c r="D410" s="308"/>
      <c r="E410" s="308"/>
      <c r="F410" s="308"/>
      <c r="G410" s="308"/>
      <c r="H410" s="308"/>
      <c r="I410" s="308"/>
      <c r="J410" s="308"/>
      <c r="K410" s="308"/>
      <c r="L410" s="308"/>
      <c r="M410" s="308"/>
      <c r="N410" s="308"/>
      <c r="O410" s="308"/>
    </row>
    <row r="411" spans="2:15">
      <c r="B411" s="309" t="s">
        <v>219</v>
      </c>
      <c r="F411" s="22"/>
      <c r="O411" s="32"/>
    </row>
    <row r="412" spans="2:15">
      <c r="F412" s="22"/>
      <c r="H412" s="24"/>
      <c r="I412" s="24"/>
      <c r="J412" s="24"/>
      <c r="K412" s="204" t="s">
        <v>5</v>
      </c>
      <c r="L412" s="62"/>
      <c r="M412" s="62"/>
      <c r="N412" s="62"/>
      <c r="O412" s="62"/>
    </row>
    <row r="413" spans="2:15">
      <c r="F413" s="22"/>
      <c r="G413" s="312"/>
      <c r="H413" s="420"/>
      <c r="I413" s="420"/>
      <c r="J413" s="249">
        <f>$J$7</f>
        <v>2019</v>
      </c>
      <c r="K413" s="313">
        <f>K$7</f>
        <v>2020</v>
      </c>
      <c r="L413" s="313">
        <f>L$7</f>
        <v>2021</v>
      </c>
      <c r="M413" s="313">
        <f>M$7</f>
        <v>2022</v>
      </c>
      <c r="N413" s="313">
        <f>N$7</f>
        <v>2023</v>
      </c>
      <c r="O413" s="313">
        <f>O$7</f>
        <v>2024</v>
      </c>
    </row>
    <row r="414" spans="2:15">
      <c r="B414" s="18"/>
      <c r="C414" s="18"/>
      <c r="D414" s="18"/>
      <c r="E414" s="18"/>
      <c r="F414" s="245"/>
      <c r="G414" s="18"/>
      <c r="H414" s="18"/>
      <c r="I414" s="18"/>
      <c r="J414" s="18"/>
      <c r="K414" s="18"/>
      <c r="L414" s="18"/>
      <c r="M414" s="18"/>
      <c r="N414" s="18"/>
      <c r="O414" s="18"/>
    </row>
    <row r="415" spans="2:15">
      <c r="B415" s="431" t="s">
        <v>130</v>
      </c>
      <c r="C415" s="699"/>
      <c r="D415" s="432"/>
      <c r="E415" s="432"/>
      <c r="F415" s="433"/>
      <c r="G415" s="298"/>
      <c r="H415" s="298"/>
      <c r="I415" s="298"/>
      <c r="J415" s="298"/>
      <c r="K415" s="298"/>
      <c r="L415" s="298"/>
      <c r="M415" s="298"/>
      <c r="N415" s="298"/>
      <c r="O415" s="434"/>
    </row>
    <row r="416" spans="2:15">
      <c r="B416" s="435"/>
      <c r="C416" s="435" t="s">
        <v>8</v>
      </c>
      <c r="D416" s="77"/>
      <c r="E416" s="77"/>
      <c r="F416" s="436" t="s">
        <v>216</v>
      </c>
      <c r="G416" s="18"/>
      <c r="H416" s="18"/>
      <c r="I416" s="18"/>
      <c r="J416" s="523">
        <f>J123</f>
        <v>43.559968799999979</v>
      </c>
      <c r="K416" s="523">
        <f t="shared" ref="K416:O416" si="154">K123</f>
        <v>59.068267499999962</v>
      </c>
      <c r="L416" s="523">
        <f t="shared" si="154"/>
        <v>49.148179502400012</v>
      </c>
      <c r="M416" s="523">
        <f t="shared" si="154"/>
        <v>80.880761138474924</v>
      </c>
      <c r="N416" s="523">
        <f t="shared" si="154"/>
        <v>75.000023110964548</v>
      </c>
      <c r="O416" s="524">
        <f t="shared" si="154"/>
        <v>77.253888880500085</v>
      </c>
    </row>
    <row r="417" spans="2:16">
      <c r="B417" s="435"/>
      <c r="C417" s="435" t="s">
        <v>131</v>
      </c>
      <c r="D417" s="77"/>
      <c r="E417" s="77"/>
      <c r="F417" s="436" t="s">
        <v>216</v>
      </c>
      <c r="G417" s="18"/>
      <c r="H417" s="18"/>
      <c r="I417" s="18"/>
      <c r="J417" s="525">
        <f>J163</f>
        <v>-15.5</v>
      </c>
      <c r="K417" s="525">
        <f t="shared" ref="K417:O417" si="155">K163</f>
        <v>-16</v>
      </c>
      <c r="L417" s="525">
        <f t="shared" si="155"/>
        <v>-17</v>
      </c>
      <c r="M417" s="525">
        <f t="shared" si="155"/>
        <v>-17.34</v>
      </c>
      <c r="N417" s="525">
        <f t="shared" si="155"/>
        <v>-17.773499999999999</v>
      </c>
      <c r="O417" s="526">
        <f t="shared" si="155"/>
        <v>-18.217837499999998</v>
      </c>
    </row>
    <row r="418" spans="2:16">
      <c r="B418" s="435"/>
      <c r="C418" s="435" t="s">
        <v>132</v>
      </c>
      <c r="D418" s="77"/>
      <c r="E418" s="77"/>
      <c r="F418" s="436" t="s">
        <v>216</v>
      </c>
      <c r="G418" s="18"/>
      <c r="H418" s="18"/>
      <c r="I418" s="18"/>
      <c r="J418" s="525">
        <f>J361+J352</f>
        <v>200</v>
      </c>
      <c r="K418" s="525">
        <f t="shared" ref="K418:O418" si="156">K361+K352</f>
        <v>175.94204637428965</v>
      </c>
      <c r="L418" s="525">
        <f t="shared" si="156"/>
        <v>156.8959733912294</v>
      </c>
      <c r="M418" s="525">
        <f t="shared" si="156"/>
        <v>126.24050685307034</v>
      </c>
      <c r="N418" s="525">
        <f t="shared" si="156"/>
        <v>100</v>
      </c>
      <c r="O418" s="526">
        <f t="shared" si="156"/>
        <v>75</v>
      </c>
    </row>
    <row r="419" spans="2:16">
      <c r="B419" s="435"/>
      <c r="C419" s="435" t="s">
        <v>133</v>
      </c>
      <c r="D419" s="77"/>
      <c r="E419" s="77"/>
      <c r="F419" s="436" t="s">
        <v>216</v>
      </c>
      <c r="G419" s="18"/>
      <c r="H419" s="18"/>
      <c r="I419" s="18"/>
      <c r="J419" s="525">
        <f>J418-J337</f>
        <v>200</v>
      </c>
      <c r="K419" s="525">
        <f t="shared" ref="K419:O419" si="157">K418-K337</f>
        <v>175.94204637428965</v>
      </c>
      <c r="L419" s="525">
        <f t="shared" si="157"/>
        <v>156.8959733912294</v>
      </c>
      <c r="M419" s="525">
        <f t="shared" si="157"/>
        <v>126.24050685307034</v>
      </c>
      <c r="N419" s="525">
        <f t="shared" si="157"/>
        <v>100</v>
      </c>
      <c r="O419" s="526">
        <f t="shared" si="157"/>
        <v>75</v>
      </c>
    </row>
    <row r="420" spans="2:16">
      <c r="B420" s="435"/>
      <c r="C420" s="435" t="s">
        <v>85</v>
      </c>
      <c r="D420" s="77"/>
      <c r="E420" s="77"/>
      <c r="F420" s="436" t="s">
        <v>216</v>
      </c>
      <c r="G420" s="18"/>
      <c r="H420" s="18"/>
      <c r="I420" s="18"/>
      <c r="J420" s="525">
        <f>J128</f>
        <v>14</v>
      </c>
      <c r="K420" s="525">
        <f t="shared" ref="K420:O420" si="158">K128</f>
        <v>16</v>
      </c>
      <c r="L420" s="525">
        <f t="shared" si="158"/>
        <v>14.07536370994317</v>
      </c>
      <c r="M420" s="525">
        <f t="shared" si="158"/>
        <v>12.551677871298352</v>
      </c>
      <c r="N420" s="525">
        <f t="shared" si="158"/>
        <v>10.099240548245628</v>
      </c>
      <c r="O420" s="526">
        <f t="shared" si="158"/>
        <v>8</v>
      </c>
    </row>
    <row r="421" spans="2:16">
      <c r="B421" s="437"/>
      <c r="C421" s="437" t="s">
        <v>204</v>
      </c>
      <c r="D421" s="55"/>
      <c r="E421" s="55"/>
      <c r="F421" s="438" t="s">
        <v>216</v>
      </c>
      <c r="G421" s="41"/>
      <c r="H421" s="41"/>
      <c r="I421" s="41"/>
      <c r="J421" s="527">
        <f>J419+J217</f>
        <v>431.6</v>
      </c>
      <c r="K421" s="527">
        <f t="shared" ref="K421:O421" si="159">K419+K217</f>
        <v>425.99457810095629</v>
      </c>
      <c r="L421" s="527">
        <f t="shared" si="159"/>
        <v>419.62768736539545</v>
      </c>
      <c r="M421" s="527">
        <f t="shared" si="159"/>
        <v>422.009830252092</v>
      </c>
      <c r="N421" s="527">
        <f t="shared" si="159"/>
        <v>426.02372781866001</v>
      </c>
      <c r="O421" s="528">
        <f t="shared" si="159"/>
        <v>433.44548743313607</v>
      </c>
    </row>
    <row r="422" spans="2:16">
      <c r="B422" s="18"/>
      <c r="C422" s="18"/>
      <c r="D422" s="18"/>
      <c r="E422" s="18"/>
      <c r="F422" s="245"/>
      <c r="G422" s="18"/>
      <c r="H422" s="18"/>
      <c r="I422" s="18"/>
      <c r="J422" s="18"/>
      <c r="K422" s="18"/>
      <c r="L422" s="18"/>
      <c r="M422" s="18"/>
      <c r="N422" s="18"/>
      <c r="O422" s="18"/>
    </row>
    <row r="423" spans="2:16">
      <c r="B423" s="18"/>
      <c r="C423" s="18"/>
      <c r="D423" s="18"/>
      <c r="E423" s="18"/>
      <c r="F423" s="245"/>
      <c r="G423" s="18"/>
      <c r="H423" s="18"/>
      <c r="I423" s="18"/>
      <c r="J423" s="18"/>
      <c r="K423" s="18"/>
      <c r="L423" s="18"/>
      <c r="M423" s="18"/>
      <c r="N423" s="18"/>
      <c r="O423" s="18"/>
    </row>
    <row r="424" spans="2:16">
      <c r="B424" s="234" t="s">
        <v>134</v>
      </c>
      <c r="C424" s="18"/>
      <c r="D424" s="18"/>
      <c r="E424" s="18"/>
      <c r="F424" s="245"/>
      <c r="G424" s="18"/>
      <c r="H424" s="18"/>
      <c r="I424" s="18"/>
      <c r="J424" s="18"/>
      <c r="K424" s="18"/>
      <c r="L424" s="18"/>
      <c r="M424" s="18"/>
      <c r="N424" s="18"/>
      <c r="O424" s="18"/>
    </row>
    <row r="425" spans="2:16" ht="6" customHeight="1">
      <c r="B425" s="18"/>
      <c r="C425" s="18"/>
      <c r="D425" s="18"/>
      <c r="E425" s="18"/>
      <c r="F425" s="245"/>
      <c r="G425" s="18"/>
      <c r="H425" s="18"/>
      <c r="I425" s="18"/>
      <c r="J425" s="18"/>
      <c r="K425" s="18"/>
      <c r="L425" s="18"/>
      <c r="M425" s="18"/>
      <c r="N425" s="18"/>
      <c r="O425" s="18"/>
    </row>
    <row r="426" spans="2:16">
      <c r="B426" s="18"/>
      <c r="C426" s="44" t="s">
        <v>135</v>
      </c>
      <c r="D426" s="44"/>
      <c r="E426" s="44"/>
      <c r="F426" s="44"/>
      <c r="G426" s="44"/>
      <c r="H426" s="439" t="s">
        <v>136</v>
      </c>
      <c r="I426" s="522">
        <f>Assumptions!H30</f>
        <v>4.5</v>
      </c>
      <c r="J426" s="520">
        <f>J419/J416</f>
        <v>4.5913715163175253</v>
      </c>
      <c r="K426" s="520">
        <f t="shared" ref="K426:O426" si="160">K419/K416</f>
        <v>2.9786220896742868</v>
      </c>
      <c r="L426" s="520">
        <f t="shared" si="160"/>
        <v>3.1923048824945353</v>
      </c>
      <c r="M426" s="520">
        <f t="shared" si="160"/>
        <v>1.560822438811321</v>
      </c>
      <c r="N426" s="520">
        <f t="shared" si="160"/>
        <v>1.333332922471868</v>
      </c>
      <c r="O426" s="520">
        <f t="shared" si="160"/>
        <v>0.97082491363008916</v>
      </c>
    </row>
    <row r="427" spans="2:16">
      <c r="B427" s="18"/>
      <c r="C427" s="44"/>
      <c r="D427" s="440" t="s">
        <v>137</v>
      </c>
      <c r="E427" s="44"/>
      <c r="F427" s="441"/>
      <c r="G427" s="44"/>
      <c r="H427" s="44"/>
      <c r="I427" s="44"/>
      <c r="J427" s="521">
        <f>J416-(J419/$I$426)</f>
        <v>-0.88447564444446414</v>
      </c>
      <c r="K427" s="521">
        <f t="shared" ref="K427:O427" si="161">K416-(K419/$I$426)</f>
        <v>19.970034972380041</v>
      </c>
      <c r="L427" s="521">
        <f t="shared" si="161"/>
        <v>14.282407637682368</v>
      </c>
      <c r="M427" s="521">
        <f t="shared" si="161"/>
        <v>52.82731517112596</v>
      </c>
      <c r="N427" s="521">
        <f t="shared" si="161"/>
        <v>52.777800888742327</v>
      </c>
      <c r="O427" s="521">
        <f t="shared" si="161"/>
        <v>60.587222213833414</v>
      </c>
    </row>
    <row r="428" spans="2:16">
      <c r="B428" s="18"/>
      <c r="C428" s="44"/>
      <c r="D428" s="44"/>
      <c r="E428" s="44"/>
      <c r="F428" s="441"/>
      <c r="G428" s="44"/>
      <c r="H428" s="44"/>
      <c r="I428" s="44"/>
      <c r="J428" s="18"/>
      <c r="K428" s="18"/>
      <c r="L428" s="18"/>
      <c r="M428" s="18"/>
      <c r="N428" s="18"/>
      <c r="O428" s="18"/>
    </row>
    <row r="429" spans="2:16">
      <c r="B429" s="18"/>
      <c r="C429" s="44" t="s">
        <v>138</v>
      </c>
      <c r="D429" s="44"/>
      <c r="E429" s="44"/>
      <c r="F429" s="441"/>
      <c r="G429" s="44"/>
      <c r="H429" s="439" t="s">
        <v>136</v>
      </c>
      <c r="I429" s="519">
        <f>Assumptions!H31</f>
        <v>1.5</v>
      </c>
      <c r="J429" s="520">
        <f>J416/J420</f>
        <v>3.1114263428571411</v>
      </c>
      <c r="K429" s="520">
        <f t="shared" ref="K429:O429" si="162">K416/K420</f>
        <v>3.6917667187499976</v>
      </c>
      <c r="L429" s="520">
        <f t="shared" si="162"/>
        <v>3.4917875314071334</v>
      </c>
      <c r="M429" s="520">
        <f t="shared" si="162"/>
        <v>6.4438206563142604</v>
      </c>
      <c r="N429" s="520">
        <f t="shared" si="162"/>
        <v>7.4263032702981855</v>
      </c>
      <c r="O429" s="520">
        <f t="shared" si="162"/>
        <v>9.6567361100625106</v>
      </c>
    </row>
    <row r="430" spans="2:16">
      <c r="B430" s="18"/>
      <c r="C430" s="44"/>
      <c r="D430" s="440" t="s">
        <v>137</v>
      </c>
      <c r="E430" s="44"/>
      <c r="F430" s="441"/>
      <c r="G430" s="44"/>
      <c r="H430" s="44"/>
      <c r="I430" s="44"/>
      <c r="J430" s="521">
        <f>J416-(I420/$J$429)</f>
        <v>43.559968799999979</v>
      </c>
      <c r="K430" s="521">
        <f t="shared" ref="K430:O430" si="163">K416-(J420/$J$429)</f>
        <v>54.568723414008787</v>
      </c>
      <c r="L430" s="521">
        <f t="shared" si="163"/>
        <v>44.005843404124384</v>
      </c>
      <c r="M430" s="521">
        <f t="shared" si="163"/>
        <v>76.356995457099956</v>
      </c>
      <c r="N430" s="521">
        <f t="shared" si="163"/>
        <v>70.965963972745485</v>
      </c>
      <c r="O430" s="521">
        <f t="shared" si="163"/>
        <v>74.008033303224309</v>
      </c>
      <c r="P430" s="362"/>
    </row>
    <row r="431" spans="2:16">
      <c r="B431" s="18"/>
      <c r="C431" s="44"/>
      <c r="D431" s="44"/>
      <c r="E431" s="44"/>
      <c r="F431" s="441"/>
      <c r="G431" s="44"/>
      <c r="H431" s="44"/>
      <c r="I431" s="44"/>
      <c r="J431" s="18"/>
      <c r="K431" s="18"/>
      <c r="L431" s="18"/>
      <c r="M431" s="18"/>
      <c r="N431" s="18"/>
      <c r="O431" s="18"/>
      <c r="P431" s="362"/>
    </row>
    <row r="432" spans="2:16">
      <c r="B432" s="18"/>
      <c r="C432" s="44" t="s">
        <v>266</v>
      </c>
      <c r="D432" s="44"/>
      <c r="E432" s="44"/>
      <c r="F432" s="441"/>
      <c r="G432" s="44"/>
      <c r="H432" s="439" t="s">
        <v>136</v>
      </c>
      <c r="I432" s="519">
        <f>Assumptions!H32</f>
        <v>1.2</v>
      </c>
      <c r="J432" s="520">
        <f>((J416+J417)/J420)</f>
        <v>2.0042834857142844</v>
      </c>
      <c r="K432" s="520">
        <f t="shared" ref="K432:O432" si="164">((K416+K417)/K420)</f>
        <v>2.6917667187499976</v>
      </c>
      <c r="L432" s="520">
        <f t="shared" si="164"/>
        <v>2.2840034662613924</v>
      </c>
      <c r="M432" s="520">
        <f t="shared" si="164"/>
        <v>5.0623320475561435</v>
      </c>
      <c r="N432" s="520">
        <f t="shared" si="164"/>
        <v>5.6664184636047263</v>
      </c>
      <c r="O432" s="520">
        <f t="shared" si="164"/>
        <v>7.3795064225625104</v>
      </c>
      <c r="P432" s="362"/>
    </row>
    <row r="433" spans="2:16">
      <c r="B433" s="18"/>
      <c r="C433" s="44"/>
      <c r="D433" s="440" t="s">
        <v>137</v>
      </c>
      <c r="E433" s="44"/>
      <c r="F433" s="441"/>
      <c r="G433" s="44"/>
      <c r="H433" s="44"/>
      <c r="I433" s="44"/>
      <c r="J433" s="521">
        <f>J416-($I$432*J420+J417)</f>
        <v>42.259968799999982</v>
      </c>
      <c r="K433" s="521">
        <f t="shared" ref="K433:O433" si="165">K416-($I$432*K420+K417)</f>
        <v>55.868267499999959</v>
      </c>
      <c r="L433" s="521">
        <f t="shared" si="165"/>
        <v>49.257743050468207</v>
      </c>
      <c r="M433" s="521">
        <f t="shared" si="165"/>
        <v>83.158747692916904</v>
      </c>
      <c r="N433" s="521">
        <f t="shared" si="165"/>
        <v>80.654434453069797</v>
      </c>
      <c r="O433" s="521">
        <f t="shared" si="165"/>
        <v>85.871726380500078</v>
      </c>
      <c r="P433" s="362"/>
    </row>
    <row r="434" spans="2:16">
      <c r="B434" s="18"/>
      <c r="C434" s="44"/>
      <c r="D434" s="44"/>
      <c r="E434" s="44"/>
      <c r="F434" s="441"/>
      <c r="G434" s="44"/>
      <c r="H434" s="44"/>
      <c r="I434" s="44"/>
      <c r="J434" s="18"/>
      <c r="K434" s="18"/>
      <c r="L434" s="18"/>
      <c r="M434" s="18"/>
      <c r="N434" s="18"/>
      <c r="O434" s="18"/>
      <c r="P434" s="362"/>
    </row>
    <row r="435" spans="2:16">
      <c r="B435" s="18"/>
      <c r="C435" s="44" t="s">
        <v>139</v>
      </c>
      <c r="D435" s="44"/>
      <c r="E435" s="44"/>
      <c r="F435" s="441"/>
      <c r="G435" s="44"/>
      <c r="H435" s="439" t="s">
        <v>136</v>
      </c>
      <c r="I435" s="518">
        <f>Assumptions!H33</f>
        <v>0.4</v>
      </c>
      <c r="J435" s="517">
        <f>J419/J421</f>
        <v>0.46339202965708987</v>
      </c>
      <c r="K435" s="517">
        <f t="shared" ref="K435:O435" si="166">K419/K421</f>
        <v>0.41301475516102276</v>
      </c>
      <c r="L435" s="517">
        <f t="shared" si="166"/>
        <v>0.37389328234342767</v>
      </c>
      <c r="M435" s="517">
        <f t="shared" si="166"/>
        <v>0.29914115218041071</v>
      </c>
      <c r="N435" s="517">
        <f t="shared" si="166"/>
        <v>0.23472870985854033</v>
      </c>
      <c r="O435" s="517">
        <f t="shared" si="166"/>
        <v>0.17303213939116072</v>
      </c>
      <c r="P435" s="362"/>
    </row>
    <row r="436" spans="2:16">
      <c r="B436" s="41"/>
      <c r="C436" s="41"/>
      <c r="D436" s="41"/>
      <c r="E436" s="41"/>
      <c r="F436" s="243"/>
      <c r="G436" s="41"/>
      <c r="H436" s="41"/>
      <c r="I436" s="41"/>
      <c r="J436" s="41"/>
      <c r="K436" s="41"/>
      <c r="L436" s="41"/>
      <c r="M436" s="41"/>
      <c r="N436" s="41"/>
      <c r="O436" s="41"/>
      <c r="P436" s="362"/>
    </row>
    <row r="437" spans="2:16">
      <c r="B437" s="18"/>
      <c r="C437" s="18"/>
      <c r="D437" s="18"/>
      <c r="E437" s="18"/>
      <c r="F437" s="245"/>
      <c r="G437" s="18"/>
      <c r="H437" s="18"/>
      <c r="I437" s="18"/>
      <c r="J437" s="18"/>
      <c r="K437" s="18"/>
      <c r="L437" s="18"/>
      <c r="M437" s="18"/>
      <c r="N437" s="18"/>
      <c r="O437" s="18"/>
    </row>
    <row r="447" spans="2:16">
      <c r="F447" s="22"/>
      <c r="G447" s="202"/>
    </row>
    <row r="448" spans="2:16">
      <c r="F448" s="22"/>
      <c r="G448" s="202"/>
    </row>
  </sheetData>
  <phoneticPr fontId="0" type="noConversion"/>
  <conditionalFormatting sqref="J426:O426">
    <cfRule type="expression" dxfId="3" priority="4" stopIfTrue="1">
      <formula>J426&gt;$I$426</formula>
    </cfRule>
  </conditionalFormatting>
  <conditionalFormatting sqref="J429:O429">
    <cfRule type="expression" dxfId="2" priority="3" stopIfTrue="1">
      <formula>J429&lt;$I$429</formula>
    </cfRule>
  </conditionalFormatting>
  <conditionalFormatting sqref="J432:O432">
    <cfRule type="expression" dxfId="1" priority="2" stopIfTrue="1">
      <formula>J432&lt;$I$432</formula>
    </cfRule>
  </conditionalFormatting>
  <conditionalFormatting sqref="J435:O435">
    <cfRule type="expression" dxfId="0" priority="1" stopIfTrue="1">
      <formula>J435&gt;$I$435</formula>
    </cfRule>
  </conditionalFormatting>
  <printOptions horizontalCentered="1"/>
  <pageMargins left="0.23622047244094491" right="0.23622047244094491" top="0.23622047244094491" bottom="0.51181102362204722" header="0.23622047244094491" footer="0.23622047244094491"/>
  <pageSetup scale="95" orientation="landscape" r:id="rId1"/>
  <headerFooter alignWithMargins="0">
    <oddFooter>&amp;L&amp;"Calibri,Bold"&amp;9The Marquee Group
&amp;"Calibri,Regular"C:\My Documents\Precision Model.xls&amp;C&amp;"Calibri,Regular"&amp;9Page &amp;P of &amp;N&amp;R&amp;"Calibri,Regular"&amp;9&amp;D  &amp;T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5</vt:i4>
      </vt:variant>
    </vt:vector>
  </HeadingPairs>
  <TitlesOfParts>
    <vt:vector size="10" baseType="lpstr">
      <vt:lpstr>Cover</vt:lpstr>
      <vt:lpstr>Summary</vt:lpstr>
      <vt:lpstr>Assumptions</vt:lpstr>
      <vt:lpstr>Scenarios</vt:lpstr>
      <vt:lpstr>Model</vt:lpstr>
      <vt:lpstr>Assumptions!Print_Area</vt:lpstr>
      <vt:lpstr>Cover!Print_Area</vt:lpstr>
      <vt:lpstr>Model!Print_Area</vt:lpstr>
      <vt:lpstr>Scenarios!Print_Area</vt:lpstr>
      <vt:lpstr>Summary!Print_Area</vt:lpstr>
    </vt:vector>
  </TitlesOfParts>
  <Company>The Marquee Group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Ian Schnoor</dc:creator>
  <cp:lastModifiedBy>Arun Raju</cp:lastModifiedBy>
  <cp:lastPrinted>2020-03-21T20:16:13Z</cp:lastPrinted>
  <dcterms:created xsi:type="dcterms:W3CDTF">1998-11-25T15:33:31Z</dcterms:created>
  <dcterms:modified xsi:type="dcterms:W3CDTF">2024-04-12T18:30:16Z</dcterms:modified>
</cp:coreProperties>
</file>