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Monte Rpts from QB\"/>
    </mc:Choice>
  </mc:AlternateContent>
  <xr:revisionPtr revIDLastSave="0" documentId="8_{713FCE88-03E9-45F1-AE0B-0314BD8BA92A}" xr6:coauthVersionLast="47" xr6:coauthVersionMax="47" xr10:uidLastSave="{00000000-0000-0000-0000-000000000000}"/>
  <bookViews>
    <workbookView xWindow="30030" yWindow="1080" windowWidth="26250" windowHeight="14475" xr2:uid="{00000000-000D-0000-FFFF-FFFF00000000}"/>
  </bookViews>
  <sheets>
    <sheet name="2022 Profit &amp; Los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B77" i="1"/>
  <c r="B74" i="1"/>
  <c r="B75" i="1" s="1"/>
  <c r="B76" i="1" s="1"/>
  <c r="B79" i="1" s="1"/>
  <c r="B69" i="1"/>
  <c r="B68" i="1"/>
  <c r="B70" i="1" s="1"/>
  <c r="B80" i="1" s="1"/>
  <c r="B63" i="1"/>
  <c r="B64" i="1" s="1"/>
  <c r="B60" i="1"/>
  <c r="B59" i="1"/>
  <c r="B58" i="1"/>
  <c r="B57" i="1"/>
  <c r="B55" i="1"/>
  <c r="B54" i="1"/>
  <c r="B53" i="1"/>
  <c r="B56" i="1" s="1"/>
  <c r="B61" i="1" s="1"/>
  <c r="B52" i="1"/>
  <c r="B50" i="1"/>
  <c r="B48" i="1"/>
  <c r="B47" i="1"/>
  <c r="B46" i="1"/>
  <c r="B45" i="1"/>
  <c r="B44" i="1"/>
  <c r="B49" i="1" s="1"/>
  <c r="B41" i="1"/>
  <c r="B40" i="1"/>
  <c r="B39" i="1"/>
  <c r="B38" i="1"/>
  <c r="B42" i="1" s="1"/>
  <c r="B35" i="1"/>
  <c r="B34" i="1"/>
  <c r="B33" i="1"/>
  <c r="B32" i="1"/>
  <c r="B31" i="1"/>
  <c r="B30" i="1"/>
  <c r="B29" i="1"/>
  <c r="B28" i="1"/>
  <c r="B36" i="1" s="1"/>
  <c r="B25" i="1"/>
  <c r="B26" i="1" s="1"/>
  <c r="B24" i="1"/>
  <c r="B23" i="1"/>
  <c r="B22" i="1"/>
  <c r="B21" i="1"/>
  <c r="B15" i="1"/>
  <c r="B16" i="1" s="1"/>
  <c r="B14" i="1"/>
  <c r="B13" i="1"/>
  <c r="B12" i="1"/>
  <c r="B11" i="1"/>
  <c r="B9" i="1"/>
  <c r="B8" i="1"/>
  <c r="B7" i="1"/>
  <c r="B17" i="1" l="1"/>
  <c r="B18" i="1" s="1"/>
  <c r="B65" i="1"/>
  <c r="B66" i="1" l="1"/>
  <c r="B81" i="1" s="1"/>
</calcChain>
</file>

<file path=xl/sharedStrings.xml><?xml version="1.0" encoding="utf-8"?>
<sst xmlns="http://schemas.openxmlformats.org/spreadsheetml/2006/main" count="81" uniqueCount="81">
  <si>
    <t>Western Cass Fire Protection District</t>
  </si>
  <si>
    <t>Statement of Revenues, Expenditures, and Changes in Fund Balances</t>
  </si>
  <si>
    <t>January - December 2022</t>
  </si>
  <si>
    <t>Total</t>
  </si>
  <si>
    <t>Income</t>
  </si>
  <si>
    <t xml:space="preserve">   4005 Candidate Filing Fees</t>
  </si>
  <si>
    <t xml:space="preserve">   4040 Tax Revenue</t>
  </si>
  <si>
    <t xml:space="preserve">      4043 Financial Institutions Tax</t>
  </si>
  <si>
    <t xml:space="preserve">      4045 General Fund Property Taxes</t>
  </si>
  <si>
    <t xml:space="preserve">         4045-2016 Year 2016</t>
  </si>
  <si>
    <t xml:space="preserve">         4045-2019 Year 2019</t>
  </si>
  <si>
    <t xml:space="preserve">         4045-2020 Year 2020</t>
  </si>
  <si>
    <t xml:space="preserve">         4045-2021 Year 2021</t>
  </si>
  <si>
    <t xml:space="preserve">      Total 4045 General Fund Property Taxes</t>
  </si>
  <si>
    <t xml:space="preserve">   Total 4040 Tax Revenue</t>
  </si>
  <si>
    <t>Total Income</t>
  </si>
  <si>
    <t>Gross Profit</t>
  </si>
  <si>
    <t>Expenses</t>
  </si>
  <si>
    <t xml:space="preserve">   6010 Administrative Expenditures</t>
  </si>
  <si>
    <t xml:space="preserve">      6010-02 Advertising and Publicity</t>
  </si>
  <si>
    <t xml:space="preserve">      6010-08 Insurance</t>
  </si>
  <si>
    <t xml:space="preserve">      6010-10 IT/Computers</t>
  </si>
  <si>
    <t xml:space="preserve">      6010-12 Interest Paid</t>
  </si>
  <si>
    <t xml:space="preserve">      6010-16 Office Expense</t>
  </si>
  <si>
    <t xml:space="preserve">   Total 6010 Administrative Expenditures</t>
  </si>
  <si>
    <t xml:space="preserve">   6020 Facility Expenditures</t>
  </si>
  <si>
    <t xml:space="preserve">      6020-02 Building and Grounds</t>
  </si>
  <si>
    <t xml:space="preserve">      6020-04 Building Improvement Supplies</t>
  </si>
  <si>
    <t xml:space="preserve">      6020-06 Electricity</t>
  </si>
  <si>
    <t xml:space="preserve">      6020-14 Propane/Natural Gas</t>
  </si>
  <si>
    <t xml:space="preserve">      6020-16 Security</t>
  </si>
  <si>
    <t xml:space="preserve">      6020-18 Telephone</t>
  </si>
  <si>
    <t xml:space="preserve">      6020-20 Trash Removal</t>
  </si>
  <si>
    <t xml:space="preserve">      6020-22 Water</t>
  </si>
  <si>
    <t xml:space="preserve">   Total 6020 Facility Expenditures</t>
  </si>
  <si>
    <t xml:space="preserve">   6030 Human Resources</t>
  </si>
  <si>
    <t xml:space="preserve">      6030-02 Benefits</t>
  </si>
  <si>
    <t xml:space="preserve">      6030-04 Employee Relations</t>
  </si>
  <si>
    <t xml:space="preserve">      6030-06 Training</t>
  </si>
  <si>
    <t xml:space="preserve">      6030-08 Workers Compensation Insurance</t>
  </si>
  <si>
    <t xml:space="preserve">   Total 6030 Human Resources</t>
  </si>
  <si>
    <t xml:space="preserve">   6040 Legal and Professional Services</t>
  </si>
  <si>
    <t xml:space="preserve">      6040-02 Accounting</t>
  </si>
  <si>
    <t xml:space="preserve">      6040-04 Consulting/Contractor</t>
  </si>
  <si>
    <t xml:space="preserve">      6040-06 Legal</t>
  </si>
  <si>
    <t xml:space="preserve">      6040-08 Medical Direction</t>
  </si>
  <si>
    <t xml:space="preserve">      6040-10 Secretarial</t>
  </si>
  <si>
    <t xml:space="preserve">   Total 6040 Legal and Professional Services</t>
  </si>
  <si>
    <t xml:space="preserve">   6050 Miscellaneous Expenditures</t>
  </si>
  <si>
    <t xml:space="preserve">   6060 Operational Expenditures</t>
  </si>
  <si>
    <t xml:space="preserve">      6060-02 Clothing and PPE</t>
  </si>
  <si>
    <t xml:space="preserve">      6060-04 Communications</t>
  </si>
  <si>
    <t xml:space="preserve">         6060-04-1 Dispatching</t>
  </si>
  <si>
    <t xml:space="preserve">         6060-04-2 Paging</t>
  </si>
  <si>
    <t xml:space="preserve">      Total 6060-04 Communications</t>
  </si>
  <si>
    <t xml:space="preserve">      6060-06 Emergency Medical Services (EMS)</t>
  </si>
  <si>
    <t xml:space="preserve">      6060-08 Fire</t>
  </si>
  <si>
    <t xml:space="preserve">      6060-10 Fuel</t>
  </si>
  <si>
    <t xml:space="preserve">      6060-12 Maintenance and Repairs</t>
  </si>
  <si>
    <t xml:space="preserve">   Total 6060 Operational Expenditures</t>
  </si>
  <si>
    <t xml:space="preserve">   6070 Payroll expenses</t>
  </si>
  <si>
    <t xml:space="preserve">      6070-06 Salaries &amp; Wages</t>
  </si>
  <si>
    <t xml:space="preserve">   Total 6070 Payroll expenses</t>
  </si>
  <si>
    <t>Total Expenses</t>
  </si>
  <si>
    <t>Net Operating Income</t>
  </si>
  <si>
    <t>Other Income</t>
  </si>
  <si>
    <t xml:space="preserve">   4070 Insurance Proceeds</t>
  </si>
  <si>
    <t xml:space="preserve">   4080 Sale of Assets</t>
  </si>
  <si>
    <t>Total Other Income</t>
  </si>
  <si>
    <t>Other Expenses</t>
  </si>
  <si>
    <t xml:space="preserve">   8000 Capital Expenditures</t>
  </si>
  <si>
    <t xml:space="preserve">      8000-08 Land and Buildings</t>
  </si>
  <si>
    <t xml:space="preserve">         8000-08-1 Building Improvements</t>
  </si>
  <si>
    <t xml:space="preserve">      Total 8000-08 Land and Buildings</t>
  </si>
  <si>
    <t xml:space="preserve">   Total 8000 Capital Expenditures</t>
  </si>
  <si>
    <t xml:space="preserve">   8040 Late Fees or Finance Charges</t>
  </si>
  <si>
    <t xml:space="preserve">   8060 Sales and Excise Taxes Paid</t>
  </si>
  <si>
    <t>Total Other Expenses</t>
  </si>
  <si>
    <t>Net Other Income</t>
  </si>
  <si>
    <t>Net Income</t>
  </si>
  <si>
    <t>Friday, Jan 20, 2023 12:40:44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</si>
</sst>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tabSelected="1" workbookViewId="0">
      <selection sqref="A1:B1"/>
    </sheetView>
  </sheetViews>
  <sheetFormatPr defaultRowHeight="14.45"/>
  <cols>
    <col min="1" max="2" width="56.7109375" customWidth="1"/>
  </cols>
  <sheetData>
    <row r="1" spans="1:2" ht="17.45">
      <c r="A1" s="8" t="s">
        <v>0</v>
      </c>
      <c r="B1" s="10"/>
    </row>
    <row r="2" spans="1:2" ht="17.45">
      <c r="A2" s="8" t="s">
        <v>1</v>
      </c>
      <c r="B2" s="10"/>
    </row>
    <row r="3" spans="1:2">
      <c r="A3" s="9" t="s">
        <v>2</v>
      </c>
      <c r="B3" s="10"/>
    </row>
    <row r="5" spans="1:2">
      <c r="A5" s="1"/>
      <c r="B5" s="2" t="s">
        <v>3</v>
      </c>
    </row>
    <row r="6" spans="1:2">
      <c r="A6" s="3" t="s">
        <v>4</v>
      </c>
      <c r="B6" s="4"/>
    </row>
    <row r="7" spans="1:2">
      <c r="A7" s="3" t="s">
        <v>5</v>
      </c>
      <c r="B7" s="5">
        <f>300</f>
        <v>300</v>
      </c>
    </row>
    <row r="8" spans="1:2">
      <c r="A8" s="3" t="s">
        <v>6</v>
      </c>
      <c r="B8" s="5">
        <f>41061.78</f>
        <v>41061.78</v>
      </c>
    </row>
    <row r="9" spans="1:2">
      <c r="A9" s="3" t="s">
        <v>7</v>
      </c>
      <c r="B9" s="5">
        <f>10.84</f>
        <v>10.84</v>
      </c>
    </row>
    <row r="10" spans="1:2">
      <c r="A10" s="3" t="s">
        <v>8</v>
      </c>
      <c r="B10" s="4"/>
    </row>
    <row r="11" spans="1:2">
      <c r="A11" s="3" t="s">
        <v>9</v>
      </c>
      <c r="B11" s="5">
        <f>1.37</f>
        <v>1.37</v>
      </c>
    </row>
    <row r="12" spans="1:2">
      <c r="A12" s="3" t="s">
        <v>10</v>
      </c>
      <c r="B12" s="5">
        <f>102.26</f>
        <v>102.26</v>
      </c>
    </row>
    <row r="13" spans="1:2">
      <c r="A13" s="3" t="s">
        <v>11</v>
      </c>
      <c r="B13" s="5">
        <f>1041.81</f>
        <v>1041.81</v>
      </c>
    </row>
    <row r="14" spans="1:2">
      <c r="A14" s="3" t="s">
        <v>12</v>
      </c>
      <c r="B14" s="5">
        <f>225055.21</f>
        <v>225055.21</v>
      </c>
    </row>
    <row r="15" spans="1:2">
      <c r="A15" s="3" t="s">
        <v>13</v>
      </c>
      <c r="B15" s="6">
        <f>((((B10)+(B11))+(B12))+(B13))+(B14)</f>
        <v>226200.65</v>
      </c>
    </row>
    <row r="16" spans="1:2">
      <c r="A16" s="3" t="s">
        <v>14</v>
      </c>
      <c r="B16" s="6">
        <f>((B8)+(B9))+(B15)</f>
        <v>267273.27</v>
      </c>
    </row>
    <row r="17" spans="1:2">
      <c r="A17" s="3" t="s">
        <v>15</v>
      </c>
      <c r="B17" s="6">
        <f>(B7)+(B16)</f>
        <v>267573.27</v>
      </c>
    </row>
    <row r="18" spans="1:2">
      <c r="A18" s="3" t="s">
        <v>16</v>
      </c>
      <c r="B18" s="6">
        <f>(B17)-(0)</f>
        <v>267573.27</v>
      </c>
    </row>
    <row r="19" spans="1:2">
      <c r="A19" s="3" t="s">
        <v>17</v>
      </c>
      <c r="B19" s="4"/>
    </row>
    <row r="20" spans="1:2">
      <c r="A20" s="3" t="s">
        <v>18</v>
      </c>
      <c r="B20" s="4"/>
    </row>
    <row r="21" spans="1:2">
      <c r="A21" s="3" t="s">
        <v>19</v>
      </c>
      <c r="B21" s="5">
        <f>1692.06</f>
        <v>1692.06</v>
      </c>
    </row>
    <row r="22" spans="1:2">
      <c r="A22" s="3" t="s">
        <v>20</v>
      </c>
      <c r="B22" s="5">
        <f>17236</f>
        <v>17236</v>
      </c>
    </row>
    <row r="23" spans="1:2">
      <c r="A23" s="3" t="s">
        <v>21</v>
      </c>
      <c r="B23" s="5">
        <f>11042.03</f>
        <v>11042.03</v>
      </c>
    </row>
    <row r="24" spans="1:2">
      <c r="A24" s="3" t="s">
        <v>22</v>
      </c>
      <c r="B24" s="5">
        <f>15.6</f>
        <v>15.6</v>
      </c>
    </row>
    <row r="25" spans="1:2">
      <c r="A25" s="3" t="s">
        <v>23</v>
      </c>
      <c r="B25" s="5">
        <f>1387.84</f>
        <v>1387.84</v>
      </c>
    </row>
    <row r="26" spans="1:2">
      <c r="A26" s="3" t="s">
        <v>24</v>
      </c>
      <c r="B26" s="6">
        <f>(((((B20)+(B21))+(B22))+(B23))+(B24))+(B25)</f>
        <v>31373.530000000002</v>
      </c>
    </row>
    <row r="27" spans="1:2">
      <c r="A27" s="3" t="s">
        <v>25</v>
      </c>
      <c r="B27" s="4"/>
    </row>
    <row r="28" spans="1:2">
      <c r="A28" s="3" t="s">
        <v>26</v>
      </c>
      <c r="B28" s="5">
        <f>6979.21</f>
        <v>6979.21</v>
      </c>
    </row>
    <row r="29" spans="1:2">
      <c r="A29" s="3" t="s">
        <v>27</v>
      </c>
      <c r="B29" s="5">
        <f>1210.86</f>
        <v>1210.8599999999999</v>
      </c>
    </row>
    <row r="30" spans="1:2">
      <c r="A30" s="3" t="s">
        <v>28</v>
      </c>
      <c r="B30" s="5">
        <f>3358.62</f>
        <v>3358.62</v>
      </c>
    </row>
    <row r="31" spans="1:2">
      <c r="A31" s="3" t="s">
        <v>29</v>
      </c>
      <c r="B31" s="5">
        <f>3424.85</f>
        <v>3424.85</v>
      </c>
    </row>
    <row r="32" spans="1:2">
      <c r="A32" s="3" t="s">
        <v>30</v>
      </c>
      <c r="B32" s="5">
        <f>2721.81</f>
        <v>2721.81</v>
      </c>
    </row>
    <row r="33" spans="1:2">
      <c r="A33" s="3" t="s">
        <v>31</v>
      </c>
      <c r="B33" s="5">
        <f>152.86</f>
        <v>152.86000000000001</v>
      </c>
    </row>
    <row r="34" spans="1:2">
      <c r="A34" s="3" t="s">
        <v>32</v>
      </c>
      <c r="B34" s="5">
        <f>927.38</f>
        <v>927.38</v>
      </c>
    </row>
    <row r="35" spans="1:2">
      <c r="A35" s="3" t="s">
        <v>33</v>
      </c>
      <c r="B35" s="5">
        <f>616.43</f>
        <v>616.42999999999995</v>
      </c>
    </row>
    <row r="36" spans="1:2">
      <c r="A36" s="3" t="s">
        <v>34</v>
      </c>
      <c r="B36" s="6">
        <f>((((((((B27)+(B28))+(B29))+(B30))+(B31))+(B32))+(B33))+(B34))+(B35)</f>
        <v>19392.02</v>
      </c>
    </row>
    <row r="37" spans="1:2">
      <c r="A37" s="3" t="s">
        <v>35</v>
      </c>
      <c r="B37" s="4"/>
    </row>
    <row r="38" spans="1:2">
      <c r="A38" s="3" t="s">
        <v>36</v>
      </c>
      <c r="B38" s="5">
        <f>998</f>
        <v>998</v>
      </c>
    </row>
    <row r="39" spans="1:2">
      <c r="A39" s="3" t="s">
        <v>37</v>
      </c>
      <c r="B39" s="5">
        <f>792.04</f>
        <v>792.04</v>
      </c>
    </row>
    <row r="40" spans="1:2">
      <c r="A40" s="3" t="s">
        <v>38</v>
      </c>
      <c r="B40" s="5">
        <f>987</f>
        <v>987</v>
      </c>
    </row>
    <row r="41" spans="1:2">
      <c r="A41" s="3" t="s">
        <v>39</v>
      </c>
      <c r="B41" s="5">
        <f>2089</f>
        <v>2089</v>
      </c>
    </row>
    <row r="42" spans="1:2">
      <c r="A42" s="3" t="s">
        <v>40</v>
      </c>
      <c r="B42" s="6">
        <f>((((B37)+(B38))+(B39))+(B40))+(B41)</f>
        <v>4866.04</v>
      </c>
    </row>
    <row r="43" spans="1:2">
      <c r="A43" s="3" t="s">
        <v>41</v>
      </c>
      <c r="B43" s="4"/>
    </row>
    <row r="44" spans="1:2">
      <c r="A44" s="3" t="s">
        <v>42</v>
      </c>
      <c r="B44" s="5">
        <f>8566.5</f>
        <v>8566.5</v>
      </c>
    </row>
    <row r="45" spans="1:2">
      <c r="A45" s="3" t="s">
        <v>43</v>
      </c>
      <c r="B45" s="5">
        <f>7689.75</f>
        <v>7689.75</v>
      </c>
    </row>
    <row r="46" spans="1:2">
      <c r="A46" s="3" t="s">
        <v>44</v>
      </c>
      <c r="B46" s="5">
        <f>5950</f>
        <v>5950</v>
      </c>
    </row>
    <row r="47" spans="1:2">
      <c r="A47" s="3" t="s">
        <v>45</v>
      </c>
      <c r="B47" s="5">
        <f>1000</f>
        <v>1000</v>
      </c>
    </row>
    <row r="48" spans="1:2">
      <c r="A48" s="3" t="s">
        <v>46</v>
      </c>
      <c r="B48" s="5">
        <f>350</f>
        <v>350</v>
      </c>
    </row>
    <row r="49" spans="1:2">
      <c r="A49" s="3" t="s">
        <v>47</v>
      </c>
      <c r="B49" s="6">
        <f>(((((B43)+(B44))+(B45))+(B46))+(B47))+(B48)</f>
        <v>23556.25</v>
      </c>
    </row>
    <row r="50" spans="1:2">
      <c r="A50" s="3" t="s">
        <v>48</v>
      </c>
      <c r="B50" s="5">
        <f>65.04</f>
        <v>65.040000000000006</v>
      </c>
    </row>
    <row r="51" spans="1:2">
      <c r="A51" s="3" t="s">
        <v>49</v>
      </c>
      <c r="B51" s="4"/>
    </row>
    <row r="52" spans="1:2">
      <c r="A52" s="3" t="s">
        <v>50</v>
      </c>
      <c r="B52" s="5">
        <f>4566.82</f>
        <v>4566.82</v>
      </c>
    </row>
    <row r="53" spans="1:2">
      <c r="A53" s="3" t="s">
        <v>51</v>
      </c>
      <c r="B53" s="5">
        <f>1077.7</f>
        <v>1077.7</v>
      </c>
    </row>
    <row r="54" spans="1:2">
      <c r="A54" s="3" t="s">
        <v>52</v>
      </c>
      <c r="B54" s="5">
        <f>3884.4</f>
        <v>3884.4</v>
      </c>
    </row>
    <row r="55" spans="1:2">
      <c r="A55" s="3" t="s">
        <v>53</v>
      </c>
      <c r="B55" s="5">
        <f>4008.13</f>
        <v>4008.13</v>
      </c>
    </row>
    <row r="56" spans="1:2">
      <c r="A56" s="3" t="s">
        <v>54</v>
      </c>
      <c r="B56" s="6">
        <f>((B53)+(B54))+(B55)</f>
        <v>8970.23</v>
      </c>
    </row>
    <row r="57" spans="1:2">
      <c r="A57" s="3" t="s">
        <v>55</v>
      </c>
      <c r="B57" s="5">
        <f>1875.81</f>
        <v>1875.81</v>
      </c>
    </row>
    <row r="58" spans="1:2">
      <c r="A58" s="3" t="s">
        <v>56</v>
      </c>
      <c r="B58" s="5">
        <f>675</f>
        <v>675</v>
      </c>
    </row>
    <row r="59" spans="1:2">
      <c r="A59" s="3" t="s">
        <v>57</v>
      </c>
      <c r="B59" s="5">
        <f>3282.27</f>
        <v>3282.27</v>
      </c>
    </row>
    <row r="60" spans="1:2">
      <c r="A60" s="3" t="s">
        <v>58</v>
      </c>
      <c r="B60" s="5">
        <f>14318.78</f>
        <v>14318.78</v>
      </c>
    </row>
    <row r="61" spans="1:2">
      <c r="A61" s="3" t="s">
        <v>59</v>
      </c>
      <c r="B61" s="6">
        <f>((((((B51)+(B52))+(B56))+(B57))+(B58))+(B59))+(B60)</f>
        <v>33688.909999999996</v>
      </c>
    </row>
    <row r="62" spans="1:2">
      <c r="A62" s="3" t="s">
        <v>60</v>
      </c>
      <c r="B62" s="4"/>
    </row>
    <row r="63" spans="1:2">
      <c r="A63" s="3" t="s">
        <v>61</v>
      </c>
      <c r="B63" s="5">
        <f>34578.06</f>
        <v>34578.06</v>
      </c>
    </row>
    <row r="64" spans="1:2">
      <c r="A64" s="3" t="s">
        <v>62</v>
      </c>
      <c r="B64" s="6">
        <f>(B62)+(B63)</f>
        <v>34578.06</v>
      </c>
    </row>
    <row r="65" spans="1:2">
      <c r="A65" s="3" t="s">
        <v>63</v>
      </c>
      <c r="B65" s="6">
        <f>((((((B26)+(B36))+(B42))+(B49))+(B50))+(B61))+(B64)</f>
        <v>147519.84999999998</v>
      </c>
    </row>
    <row r="66" spans="1:2">
      <c r="A66" s="3" t="s">
        <v>64</v>
      </c>
      <c r="B66" s="6">
        <f>(B18)-(B65)</f>
        <v>120053.42000000004</v>
      </c>
    </row>
    <row r="67" spans="1:2">
      <c r="A67" s="3" t="s">
        <v>65</v>
      </c>
      <c r="B67" s="4"/>
    </row>
    <row r="68" spans="1:2">
      <c r="A68" s="3" t="s">
        <v>66</v>
      </c>
      <c r="B68" s="5">
        <f>7090.02</f>
        <v>7090.02</v>
      </c>
    </row>
    <row r="69" spans="1:2">
      <c r="A69" s="3" t="s">
        <v>67</v>
      </c>
      <c r="B69" s="5">
        <f>1079.96</f>
        <v>1079.96</v>
      </c>
    </row>
    <row r="70" spans="1:2">
      <c r="A70" s="3" t="s">
        <v>68</v>
      </c>
      <c r="B70" s="6">
        <f>(B68)+(B69)</f>
        <v>8169.9800000000005</v>
      </c>
    </row>
    <row r="71" spans="1:2">
      <c r="A71" s="3" t="s">
        <v>69</v>
      </c>
      <c r="B71" s="4"/>
    </row>
    <row r="72" spans="1:2">
      <c r="A72" s="3" t="s">
        <v>70</v>
      </c>
      <c r="B72" s="4"/>
    </row>
    <row r="73" spans="1:2">
      <c r="A73" s="3" t="s">
        <v>71</v>
      </c>
      <c r="B73" s="4"/>
    </row>
    <row r="74" spans="1:2">
      <c r="A74" s="3" t="s">
        <v>72</v>
      </c>
      <c r="B74" s="5">
        <f>42820.9</f>
        <v>42820.9</v>
      </c>
    </row>
    <row r="75" spans="1:2">
      <c r="A75" s="3" t="s">
        <v>73</v>
      </c>
      <c r="B75" s="6">
        <f>(B73)+(B74)</f>
        <v>42820.9</v>
      </c>
    </row>
    <row r="76" spans="1:2">
      <c r="A76" s="3" t="s">
        <v>74</v>
      </c>
      <c r="B76" s="6">
        <f>(B72)+(B75)</f>
        <v>42820.9</v>
      </c>
    </row>
    <row r="77" spans="1:2">
      <c r="A77" s="3" t="s">
        <v>75</v>
      </c>
      <c r="B77" s="5">
        <f>81.95</f>
        <v>81.95</v>
      </c>
    </row>
    <row r="78" spans="1:2">
      <c r="A78" s="3" t="s">
        <v>76</v>
      </c>
      <c r="B78" s="5">
        <f>59.53</f>
        <v>59.53</v>
      </c>
    </row>
    <row r="79" spans="1:2">
      <c r="A79" s="3" t="s">
        <v>77</v>
      </c>
      <c r="B79" s="6">
        <f>((B76)+(B77))+(B78)</f>
        <v>42962.38</v>
      </c>
    </row>
    <row r="80" spans="1:2">
      <c r="A80" s="3" t="s">
        <v>78</v>
      </c>
      <c r="B80" s="6">
        <f>(B70)-(B79)</f>
        <v>-34792.399999999994</v>
      </c>
    </row>
    <row r="81" spans="1:2">
      <c r="A81" s="3" t="s">
        <v>79</v>
      </c>
      <c r="B81" s="6">
        <f>(B66)+(B80)</f>
        <v>85261.020000000048</v>
      </c>
    </row>
    <row r="82" spans="1:2">
      <c r="A82" s="3"/>
      <c r="B82" s="4"/>
    </row>
    <row r="85" spans="1:2">
      <c r="A85" s="7" t="s">
        <v>80</v>
      </c>
      <c r="B85" s="10"/>
    </row>
  </sheetData>
  <mergeCells count="4">
    <mergeCell ref="A85:B8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 V</cp:lastModifiedBy>
  <cp:revision/>
  <dcterms:created xsi:type="dcterms:W3CDTF">2023-01-20T20:40:44Z</dcterms:created>
  <dcterms:modified xsi:type="dcterms:W3CDTF">2023-02-21T18:15:59Z</dcterms:modified>
  <cp:category/>
  <cp:contentStatus/>
</cp:coreProperties>
</file>