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Lawsuit\Banking Documentation\QuickBooks\"/>
    </mc:Choice>
  </mc:AlternateContent>
  <xr:revisionPtr revIDLastSave="1" documentId="8_{D832DE96-C9F6-4E64-AE9C-8314208C42C9}" xr6:coauthVersionLast="47" xr6:coauthVersionMax="47" xr10:uidLastSave="{6B28C056-534C-48D8-936F-B45B41E5AFBB}"/>
  <bookViews>
    <workbookView xWindow="2580" yWindow="2580" windowWidth="17280" windowHeight="9072" xr2:uid="{00000000-000D-0000-FFFF-FFFF00000000}"/>
  </bookViews>
  <sheets>
    <sheet name="Trial Balan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5" i="1" l="1"/>
  <c r="Y45" i="1" s="1"/>
  <c r="U45" i="1"/>
  <c r="R45" i="1"/>
  <c r="T45" i="1" s="1"/>
  <c r="V45" i="1" s="1"/>
  <c r="X45" i="1" s="1"/>
  <c r="Q45" i="1"/>
  <c r="P45" i="1"/>
  <c r="N45" i="1"/>
  <c r="E45" i="1"/>
  <c r="G45" i="1" s="1"/>
  <c r="I45" i="1" s="1"/>
  <c r="K45" i="1" s="1"/>
  <c r="M45" i="1" s="1"/>
  <c r="B45" i="1"/>
  <c r="D45" i="1" s="1"/>
  <c r="F45" i="1" s="1"/>
  <c r="H45" i="1" s="1"/>
  <c r="J45" i="1" s="1"/>
  <c r="L45" i="1" s="1"/>
  <c r="L44" i="1"/>
  <c r="N44" i="1" s="1"/>
  <c r="P44" i="1" s="1"/>
  <c r="R44" i="1" s="1"/>
  <c r="T44" i="1" s="1"/>
  <c r="V44" i="1" s="1"/>
  <c r="X44" i="1" s="1"/>
  <c r="J44" i="1"/>
  <c r="I44" i="1"/>
  <c r="K44" i="1" s="1"/>
  <c r="M44" i="1" s="1"/>
  <c r="O44" i="1" s="1"/>
  <c r="Q44" i="1" s="1"/>
  <c r="S44" i="1" s="1"/>
  <c r="U44" i="1" s="1"/>
  <c r="W44" i="1" s="1"/>
  <c r="Y44" i="1" s="1"/>
  <c r="F44" i="1"/>
  <c r="E44" i="1"/>
  <c r="G44" i="1" s="1"/>
  <c r="D44" i="1"/>
  <c r="Y43" i="1"/>
  <c r="V43" i="1"/>
  <c r="X43" i="1" s="1"/>
  <c r="T43" i="1"/>
  <c r="R43" i="1"/>
  <c r="P43" i="1"/>
  <c r="N43" i="1"/>
  <c r="L43" i="1"/>
  <c r="J43" i="1"/>
  <c r="H43" i="1"/>
  <c r="F43" i="1"/>
  <c r="D43" i="1"/>
  <c r="U42" i="1"/>
  <c r="W42" i="1" s="1"/>
  <c r="Y42" i="1" s="1"/>
  <c r="S42" i="1"/>
  <c r="P42" i="1"/>
  <c r="R42" i="1" s="1"/>
  <c r="T42" i="1" s="1"/>
  <c r="V42" i="1" s="1"/>
  <c r="X42" i="1" s="1"/>
  <c r="N42" i="1"/>
  <c r="M42" i="1"/>
  <c r="J42" i="1"/>
  <c r="L42" i="1" s="1"/>
  <c r="H42" i="1"/>
  <c r="F42" i="1"/>
  <c r="E42" i="1"/>
  <c r="D42" i="1"/>
  <c r="B42" i="1"/>
  <c r="S41" i="1"/>
  <c r="U41" i="1" s="1"/>
  <c r="W41" i="1" s="1"/>
  <c r="Y41" i="1" s="1"/>
  <c r="P41" i="1"/>
  <c r="R41" i="1" s="1"/>
  <c r="T41" i="1" s="1"/>
  <c r="V41" i="1" s="1"/>
  <c r="X41" i="1" s="1"/>
  <c r="N41" i="1"/>
  <c r="M41" i="1"/>
  <c r="O41" i="1" s="1"/>
  <c r="L41" i="1"/>
  <c r="J41" i="1"/>
  <c r="E41" i="1"/>
  <c r="G41" i="1" s="1"/>
  <c r="I41" i="1" s="1"/>
  <c r="D41" i="1"/>
  <c r="F41" i="1" s="1"/>
  <c r="H41" i="1" s="1"/>
  <c r="K40" i="1"/>
  <c r="M40" i="1" s="1"/>
  <c r="O40" i="1" s="1"/>
  <c r="Q40" i="1" s="1"/>
  <c r="S40" i="1" s="1"/>
  <c r="U40" i="1" s="1"/>
  <c r="W40" i="1" s="1"/>
  <c r="Y40" i="1" s="1"/>
  <c r="I40" i="1"/>
  <c r="F40" i="1"/>
  <c r="H40" i="1" s="1"/>
  <c r="J40" i="1" s="1"/>
  <c r="L40" i="1" s="1"/>
  <c r="N40" i="1" s="1"/>
  <c r="P40" i="1" s="1"/>
  <c r="R40" i="1" s="1"/>
  <c r="T40" i="1" s="1"/>
  <c r="V40" i="1" s="1"/>
  <c r="X40" i="1" s="1"/>
  <c r="D40" i="1"/>
  <c r="I39" i="1"/>
  <c r="K39" i="1" s="1"/>
  <c r="M39" i="1" s="1"/>
  <c r="O39" i="1" s="1"/>
  <c r="Q39" i="1" s="1"/>
  <c r="S39" i="1" s="1"/>
  <c r="U39" i="1" s="1"/>
  <c r="W39" i="1" s="1"/>
  <c r="Y39" i="1" s="1"/>
  <c r="F39" i="1"/>
  <c r="H39" i="1" s="1"/>
  <c r="J39" i="1" s="1"/>
  <c r="L39" i="1" s="1"/>
  <c r="N39" i="1" s="1"/>
  <c r="P39" i="1" s="1"/>
  <c r="R39" i="1" s="1"/>
  <c r="T39" i="1" s="1"/>
  <c r="V39" i="1" s="1"/>
  <c r="X39" i="1" s="1"/>
  <c r="E39" i="1"/>
  <c r="D39" i="1"/>
  <c r="T38" i="1"/>
  <c r="V38" i="1" s="1"/>
  <c r="X38" i="1" s="1"/>
  <c r="S38" i="1"/>
  <c r="U38" i="1" s="1"/>
  <c r="W38" i="1" s="1"/>
  <c r="Y38" i="1" s="1"/>
  <c r="R38" i="1"/>
  <c r="P38" i="1"/>
  <c r="M38" i="1"/>
  <c r="O38" i="1" s="1"/>
  <c r="J38" i="1"/>
  <c r="L38" i="1" s="1"/>
  <c r="N38" i="1" s="1"/>
  <c r="E38" i="1"/>
  <c r="G38" i="1" s="1"/>
  <c r="I38" i="1" s="1"/>
  <c r="D38" i="1"/>
  <c r="F38" i="1" s="1"/>
  <c r="H38" i="1" s="1"/>
  <c r="K37" i="1"/>
  <c r="M37" i="1" s="1"/>
  <c r="O37" i="1" s="1"/>
  <c r="Q37" i="1" s="1"/>
  <c r="S37" i="1" s="1"/>
  <c r="U37" i="1" s="1"/>
  <c r="W37" i="1" s="1"/>
  <c r="Y37" i="1" s="1"/>
  <c r="I37" i="1"/>
  <c r="H37" i="1"/>
  <c r="J37" i="1" s="1"/>
  <c r="L37" i="1" s="1"/>
  <c r="N37" i="1" s="1"/>
  <c r="P37" i="1" s="1"/>
  <c r="R37" i="1" s="1"/>
  <c r="T37" i="1" s="1"/>
  <c r="V37" i="1" s="1"/>
  <c r="X37" i="1" s="1"/>
  <c r="F37" i="1"/>
  <c r="E37" i="1"/>
  <c r="D37" i="1"/>
  <c r="Y36" i="1"/>
  <c r="V36" i="1"/>
  <c r="X36" i="1" s="1"/>
  <c r="G36" i="1"/>
  <c r="I36" i="1" s="1"/>
  <c r="K36" i="1" s="1"/>
  <c r="M36" i="1" s="1"/>
  <c r="O36" i="1" s="1"/>
  <c r="Q36" i="1" s="1"/>
  <c r="S36" i="1" s="1"/>
  <c r="U36" i="1" s="1"/>
  <c r="F36" i="1"/>
  <c r="H36" i="1" s="1"/>
  <c r="J36" i="1" s="1"/>
  <c r="L36" i="1" s="1"/>
  <c r="N36" i="1" s="1"/>
  <c r="P36" i="1" s="1"/>
  <c r="R36" i="1" s="1"/>
  <c r="T36" i="1" s="1"/>
  <c r="D36" i="1"/>
  <c r="Y35" i="1"/>
  <c r="W35" i="1"/>
  <c r="T35" i="1"/>
  <c r="V35" i="1" s="1"/>
  <c r="X35" i="1" s="1"/>
  <c r="G35" i="1"/>
  <c r="I35" i="1" s="1"/>
  <c r="K35" i="1" s="1"/>
  <c r="M35" i="1" s="1"/>
  <c r="O35" i="1" s="1"/>
  <c r="Q35" i="1" s="1"/>
  <c r="S35" i="1" s="1"/>
  <c r="E35" i="1"/>
  <c r="D35" i="1"/>
  <c r="F35" i="1" s="1"/>
  <c r="H35" i="1" s="1"/>
  <c r="J35" i="1" s="1"/>
  <c r="L35" i="1" s="1"/>
  <c r="N35" i="1" s="1"/>
  <c r="P35" i="1" s="1"/>
  <c r="R35" i="1" s="1"/>
  <c r="Q34" i="1"/>
  <c r="S34" i="1" s="1"/>
  <c r="U34" i="1" s="1"/>
  <c r="W34" i="1" s="1"/>
  <c r="Y34" i="1" s="1"/>
  <c r="P34" i="1"/>
  <c r="R34" i="1" s="1"/>
  <c r="T34" i="1" s="1"/>
  <c r="V34" i="1" s="1"/>
  <c r="X34" i="1" s="1"/>
  <c r="N34" i="1"/>
  <c r="I34" i="1"/>
  <c r="K34" i="1" s="1"/>
  <c r="M34" i="1" s="1"/>
  <c r="F34" i="1"/>
  <c r="H34" i="1" s="1"/>
  <c r="J34" i="1" s="1"/>
  <c r="L34" i="1" s="1"/>
  <c r="D34" i="1"/>
  <c r="B34" i="1"/>
  <c r="U33" i="1"/>
  <c r="W33" i="1" s="1"/>
  <c r="Y33" i="1" s="1"/>
  <c r="T33" i="1"/>
  <c r="V33" i="1" s="1"/>
  <c r="X33" i="1" s="1"/>
  <c r="R33" i="1"/>
  <c r="P33" i="1"/>
  <c r="N33" i="1"/>
  <c r="M33" i="1"/>
  <c r="J33" i="1"/>
  <c r="L33" i="1" s="1"/>
  <c r="F33" i="1"/>
  <c r="H33" i="1" s="1"/>
  <c r="E33" i="1"/>
  <c r="G33" i="1" s="1"/>
  <c r="I33" i="1" s="1"/>
  <c r="D33" i="1"/>
  <c r="B33" i="1"/>
  <c r="Y32" i="1"/>
  <c r="V32" i="1"/>
  <c r="X32" i="1" s="1"/>
  <c r="K32" i="1"/>
  <c r="M32" i="1" s="1"/>
  <c r="O32" i="1" s="1"/>
  <c r="Q32" i="1" s="1"/>
  <c r="S32" i="1" s="1"/>
  <c r="U32" i="1" s="1"/>
  <c r="I32" i="1"/>
  <c r="H32" i="1"/>
  <c r="J32" i="1" s="1"/>
  <c r="L32" i="1" s="1"/>
  <c r="N32" i="1" s="1"/>
  <c r="P32" i="1" s="1"/>
  <c r="R32" i="1" s="1"/>
  <c r="T32" i="1" s="1"/>
  <c r="F32" i="1"/>
  <c r="E32" i="1"/>
  <c r="D32" i="1"/>
  <c r="S31" i="1"/>
  <c r="U31" i="1" s="1"/>
  <c r="W31" i="1" s="1"/>
  <c r="Y31" i="1" s="1"/>
  <c r="P31" i="1"/>
  <c r="R31" i="1" s="1"/>
  <c r="T31" i="1" s="1"/>
  <c r="V31" i="1" s="1"/>
  <c r="X31" i="1" s="1"/>
  <c r="G31" i="1"/>
  <c r="I31" i="1" s="1"/>
  <c r="K31" i="1" s="1"/>
  <c r="M31" i="1" s="1"/>
  <c r="O31" i="1" s="1"/>
  <c r="E31" i="1"/>
  <c r="D31" i="1"/>
  <c r="F31" i="1" s="1"/>
  <c r="H31" i="1" s="1"/>
  <c r="J31" i="1" s="1"/>
  <c r="L31" i="1" s="1"/>
  <c r="N31" i="1" s="1"/>
  <c r="Y30" i="1"/>
  <c r="X30" i="1"/>
  <c r="V30" i="1"/>
  <c r="U30" i="1"/>
  <c r="R30" i="1"/>
  <c r="T30" i="1" s="1"/>
  <c r="L30" i="1"/>
  <c r="N30" i="1" s="1"/>
  <c r="P30" i="1" s="1"/>
  <c r="K30" i="1"/>
  <c r="M30" i="1" s="1"/>
  <c r="O30" i="1" s="1"/>
  <c r="Q30" i="1" s="1"/>
  <c r="J30" i="1"/>
  <c r="H30" i="1"/>
  <c r="F30" i="1"/>
  <c r="E30" i="1"/>
  <c r="G30" i="1" s="1"/>
  <c r="D30" i="1"/>
  <c r="Q29" i="1"/>
  <c r="S29" i="1" s="1"/>
  <c r="U29" i="1" s="1"/>
  <c r="W29" i="1" s="1"/>
  <c r="Y29" i="1" s="1"/>
  <c r="K29" i="1"/>
  <c r="M29" i="1" s="1"/>
  <c r="O29" i="1" s="1"/>
  <c r="H29" i="1"/>
  <c r="J29" i="1" s="1"/>
  <c r="L29" i="1" s="1"/>
  <c r="N29" i="1" s="1"/>
  <c r="P29" i="1" s="1"/>
  <c r="R29" i="1" s="1"/>
  <c r="T29" i="1" s="1"/>
  <c r="V29" i="1" s="1"/>
  <c r="X29" i="1" s="1"/>
  <c r="G29" i="1"/>
  <c r="E29" i="1"/>
  <c r="D29" i="1"/>
  <c r="F29" i="1" s="1"/>
  <c r="V28" i="1"/>
  <c r="X28" i="1" s="1"/>
  <c r="U28" i="1"/>
  <c r="W28" i="1" s="1"/>
  <c r="Y28" i="1" s="1"/>
  <c r="T28" i="1"/>
  <c r="R28" i="1"/>
  <c r="Q28" i="1"/>
  <c r="N28" i="1"/>
  <c r="P28" i="1" s="1"/>
  <c r="L28" i="1"/>
  <c r="K28" i="1"/>
  <c r="M28" i="1" s="1"/>
  <c r="J28" i="1"/>
  <c r="H28" i="1"/>
  <c r="F28" i="1"/>
  <c r="D28" i="1"/>
  <c r="W27" i="1"/>
  <c r="Y27" i="1" s="1"/>
  <c r="T27" i="1"/>
  <c r="V27" i="1" s="1"/>
  <c r="X27" i="1" s="1"/>
  <c r="R27" i="1"/>
  <c r="P27" i="1"/>
  <c r="N27" i="1"/>
  <c r="M27" i="1"/>
  <c r="J27" i="1"/>
  <c r="L27" i="1" s="1"/>
  <c r="E27" i="1"/>
  <c r="G27" i="1" s="1"/>
  <c r="I27" i="1" s="1"/>
  <c r="D27" i="1"/>
  <c r="F27" i="1" s="1"/>
  <c r="H27" i="1" s="1"/>
  <c r="S26" i="1"/>
  <c r="U26" i="1" s="1"/>
  <c r="W26" i="1" s="1"/>
  <c r="Y26" i="1" s="1"/>
  <c r="R26" i="1"/>
  <c r="T26" i="1" s="1"/>
  <c r="V26" i="1" s="1"/>
  <c r="X26" i="1" s="1"/>
  <c r="P26" i="1"/>
  <c r="N26" i="1"/>
  <c r="L26" i="1"/>
  <c r="J26" i="1"/>
  <c r="H26" i="1"/>
  <c r="F26" i="1"/>
  <c r="D26" i="1"/>
  <c r="B26" i="1"/>
  <c r="Y25" i="1"/>
  <c r="X25" i="1"/>
  <c r="V25" i="1"/>
  <c r="T25" i="1"/>
  <c r="R25" i="1"/>
  <c r="Q25" i="1"/>
  <c r="N25" i="1"/>
  <c r="P25" i="1" s="1"/>
  <c r="L25" i="1"/>
  <c r="J25" i="1"/>
  <c r="H25" i="1"/>
  <c r="F25" i="1"/>
  <c r="D25" i="1"/>
  <c r="B25" i="1"/>
  <c r="V24" i="1"/>
  <c r="X24" i="1" s="1"/>
  <c r="U24" i="1"/>
  <c r="W24" i="1" s="1"/>
  <c r="Y24" i="1" s="1"/>
  <c r="T24" i="1"/>
  <c r="R24" i="1"/>
  <c r="P24" i="1"/>
  <c r="N24" i="1"/>
  <c r="K24" i="1"/>
  <c r="M24" i="1" s="1"/>
  <c r="H24" i="1"/>
  <c r="J24" i="1" s="1"/>
  <c r="L24" i="1" s="1"/>
  <c r="E24" i="1"/>
  <c r="G24" i="1" s="1"/>
  <c r="D24" i="1"/>
  <c r="F24" i="1" s="1"/>
  <c r="S23" i="1"/>
  <c r="U23" i="1" s="1"/>
  <c r="W23" i="1" s="1"/>
  <c r="Y23" i="1" s="1"/>
  <c r="R23" i="1"/>
  <c r="T23" i="1" s="1"/>
  <c r="V23" i="1" s="1"/>
  <c r="X23" i="1" s="1"/>
  <c r="P23" i="1"/>
  <c r="K23" i="1"/>
  <c r="M23" i="1" s="1"/>
  <c r="O23" i="1" s="1"/>
  <c r="H23" i="1"/>
  <c r="J23" i="1" s="1"/>
  <c r="L23" i="1" s="1"/>
  <c r="N23" i="1" s="1"/>
  <c r="F23" i="1"/>
  <c r="E23" i="1"/>
  <c r="G23" i="1" s="1"/>
  <c r="D23" i="1"/>
  <c r="V22" i="1"/>
  <c r="X22" i="1" s="1"/>
  <c r="T22" i="1"/>
  <c r="S22" i="1"/>
  <c r="U22" i="1" s="1"/>
  <c r="W22" i="1" s="1"/>
  <c r="Y22" i="1" s="1"/>
  <c r="R22" i="1"/>
  <c r="P22" i="1"/>
  <c r="N22" i="1"/>
  <c r="L22" i="1"/>
  <c r="J22" i="1"/>
  <c r="I22" i="1"/>
  <c r="H22" i="1"/>
  <c r="F22" i="1"/>
  <c r="E22" i="1"/>
  <c r="B22" i="1"/>
  <c r="D22" i="1" s="1"/>
  <c r="U21" i="1"/>
  <c r="W21" i="1" s="1"/>
  <c r="Y21" i="1" s="1"/>
  <c r="S21" i="1"/>
  <c r="R21" i="1"/>
  <c r="T21" i="1" s="1"/>
  <c r="V21" i="1" s="1"/>
  <c r="X21" i="1" s="1"/>
  <c r="P21" i="1"/>
  <c r="N21" i="1"/>
  <c r="L21" i="1"/>
  <c r="J21" i="1"/>
  <c r="I21" i="1"/>
  <c r="H21" i="1"/>
  <c r="F21" i="1"/>
  <c r="D21" i="1"/>
  <c r="B21" i="1"/>
  <c r="Y20" i="1"/>
  <c r="V20" i="1"/>
  <c r="X20" i="1" s="1"/>
  <c r="T20" i="1"/>
  <c r="R20" i="1"/>
  <c r="Q20" i="1"/>
  <c r="P20" i="1"/>
  <c r="N20" i="1"/>
  <c r="L20" i="1"/>
  <c r="J20" i="1"/>
  <c r="H20" i="1"/>
  <c r="G20" i="1"/>
  <c r="E20" i="1"/>
  <c r="D20" i="1"/>
  <c r="F20" i="1" s="1"/>
  <c r="Y19" i="1"/>
  <c r="X19" i="1"/>
  <c r="V19" i="1"/>
  <c r="T19" i="1"/>
  <c r="O19" i="1"/>
  <c r="Q19" i="1" s="1"/>
  <c r="S19" i="1" s="1"/>
  <c r="N19" i="1"/>
  <c r="P19" i="1" s="1"/>
  <c r="R19" i="1" s="1"/>
  <c r="L19" i="1"/>
  <c r="K19" i="1"/>
  <c r="H19" i="1"/>
  <c r="J19" i="1" s="1"/>
  <c r="F19" i="1"/>
  <c r="E19" i="1"/>
  <c r="D19" i="1"/>
  <c r="W18" i="1"/>
  <c r="Y18" i="1" s="1"/>
  <c r="S18" i="1"/>
  <c r="U18" i="1" s="1"/>
  <c r="P18" i="1"/>
  <c r="R18" i="1" s="1"/>
  <c r="T18" i="1" s="1"/>
  <c r="V18" i="1" s="1"/>
  <c r="X18" i="1" s="1"/>
  <c r="N18" i="1"/>
  <c r="L18" i="1"/>
  <c r="J18" i="1"/>
  <c r="H18" i="1"/>
  <c r="F18" i="1"/>
  <c r="D18" i="1"/>
  <c r="B18" i="1"/>
  <c r="W17" i="1"/>
  <c r="Y17" i="1" s="1"/>
  <c r="U17" i="1"/>
  <c r="R17" i="1"/>
  <c r="T17" i="1" s="1"/>
  <c r="V17" i="1" s="1"/>
  <c r="X17" i="1" s="1"/>
  <c r="H17" i="1"/>
  <c r="J17" i="1" s="1"/>
  <c r="L17" i="1" s="1"/>
  <c r="N17" i="1" s="1"/>
  <c r="P17" i="1" s="1"/>
  <c r="F17" i="1"/>
  <c r="E17" i="1"/>
  <c r="G17" i="1" s="1"/>
  <c r="I17" i="1" s="1"/>
  <c r="K17" i="1" s="1"/>
  <c r="M17" i="1" s="1"/>
  <c r="O17" i="1" s="1"/>
  <c r="Q17" i="1" s="1"/>
  <c r="D17" i="1"/>
  <c r="Y16" i="1"/>
  <c r="X16" i="1"/>
  <c r="V16" i="1"/>
  <c r="T16" i="1"/>
  <c r="R16" i="1"/>
  <c r="I16" i="1"/>
  <c r="K16" i="1" s="1"/>
  <c r="M16" i="1" s="1"/>
  <c r="O16" i="1" s="1"/>
  <c r="Q16" i="1" s="1"/>
  <c r="E16" i="1"/>
  <c r="G16" i="1" s="1"/>
  <c r="D16" i="1"/>
  <c r="F16" i="1" s="1"/>
  <c r="H16" i="1" s="1"/>
  <c r="J16" i="1" s="1"/>
  <c r="L16" i="1" s="1"/>
  <c r="N16" i="1" s="1"/>
  <c r="P16" i="1" s="1"/>
  <c r="D15" i="1"/>
  <c r="F15" i="1" s="1"/>
  <c r="H15" i="1" s="1"/>
  <c r="J15" i="1" s="1"/>
  <c r="L15" i="1" s="1"/>
  <c r="N15" i="1" s="1"/>
  <c r="P15" i="1" s="1"/>
  <c r="R15" i="1" s="1"/>
  <c r="T15" i="1" s="1"/>
  <c r="V15" i="1" s="1"/>
  <c r="X15" i="1" s="1"/>
  <c r="C15" i="1"/>
  <c r="C46" i="1" s="1"/>
  <c r="P14" i="1"/>
  <c r="R14" i="1" s="1"/>
  <c r="T14" i="1" s="1"/>
  <c r="V14" i="1" s="1"/>
  <c r="X14" i="1" s="1"/>
  <c r="N14" i="1"/>
  <c r="M14" i="1"/>
  <c r="O14" i="1" s="1"/>
  <c r="Q14" i="1" s="1"/>
  <c r="S14" i="1" s="1"/>
  <c r="U14" i="1" s="1"/>
  <c r="W14" i="1" s="1"/>
  <c r="Y14" i="1" s="1"/>
  <c r="E14" i="1"/>
  <c r="G14" i="1" s="1"/>
  <c r="I14" i="1" s="1"/>
  <c r="K14" i="1" s="1"/>
  <c r="D14" i="1"/>
  <c r="F14" i="1" s="1"/>
  <c r="H14" i="1" s="1"/>
  <c r="J14" i="1" s="1"/>
  <c r="X13" i="1"/>
  <c r="W13" i="1"/>
  <c r="Y13" i="1" s="1"/>
  <c r="U13" i="1"/>
  <c r="R13" i="1"/>
  <c r="Q13" i="1"/>
  <c r="S13" i="1" s="1"/>
  <c r="O13" i="1"/>
  <c r="M13" i="1"/>
  <c r="K13" i="1"/>
  <c r="I13" i="1"/>
  <c r="G13" i="1"/>
  <c r="E13" i="1"/>
  <c r="C13" i="1"/>
  <c r="Y12" i="1"/>
  <c r="U12" i="1"/>
  <c r="W12" i="1" s="1"/>
  <c r="S12" i="1"/>
  <c r="R12" i="1"/>
  <c r="T12" i="1" s="1"/>
  <c r="V12" i="1" s="1"/>
  <c r="P12" i="1"/>
  <c r="O12" i="1"/>
  <c r="N12" i="1"/>
  <c r="M12" i="1"/>
  <c r="F12" i="1"/>
  <c r="H12" i="1" s="1"/>
  <c r="J12" i="1" s="1"/>
  <c r="E12" i="1"/>
  <c r="G12" i="1" s="1"/>
  <c r="I12" i="1" s="1"/>
  <c r="K12" i="1" s="1"/>
  <c r="D12" i="1"/>
  <c r="Y11" i="1"/>
  <c r="W11" i="1"/>
  <c r="V11" i="1"/>
  <c r="X11" i="1" s="1"/>
  <c r="U11" i="1"/>
  <c r="H11" i="1"/>
  <c r="J11" i="1" s="1"/>
  <c r="L11" i="1" s="1"/>
  <c r="N11" i="1" s="1"/>
  <c r="P11" i="1" s="1"/>
  <c r="R11" i="1" s="1"/>
  <c r="F11" i="1"/>
  <c r="E11" i="1"/>
  <c r="G11" i="1" s="1"/>
  <c r="D11" i="1"/>
  <c r="AA10" i="1"/>
  <c r="J10" i="1"/>
  <c r="L10" i="1" s="1"/>
  <c r="N10" i="1" s="1"/>
  <c r="P10" i="1" s="1"/>
  <c r="R10" i="1" s="1"/>
  <c r="T10" i="1" s="1"/>
  <c r="V10" i="1" s="1"/>
  <c r="X10" i="1" s="1"/>
  <c r="G10" i="1"/>
  <c r="I10" i="1" s="1"/>
  <c r="K10" i="1" s="1"/>
  <c r="M10" i="1" s="1"/>
  <c r="O10" i="1" s="1"/>
  <c r="Q10" i="1" s="1"/>
  <c r="S10" i="1" s="1"/>
  <c r="U10" i="1" s="1"/>
  <c r="W10" i="1" s="1"/>
  <c r="Y10" i="1" s="1"/>
  <c r="E10" i="1"/>
  <c r="D10" i="1"/>
  <c r="F10" i="1" s="1"/>
  <c r="H10" i="1" s="1"/>
  <c r="B10" i="1"/>
  <c r="O9" i="1"/>
  <c r="L9" i="1"/>
  <c r="N9" i="1" s="1"/>
  <c r="P9" i="1" s="1"/>
  <c r="R9" i="1" s="1"/>
  <c r="T9" i="1" s="1"/>
  <c r="V9" i="1" s="1"/>
  <c r="X9" i="1" s="1"/>
  <c r="Z9" i="1" s="1"/>
  <c r="G9" i="1"/>
  <c r="I9" i="1" s="1"/>
  <c r="K9" i="1" s="1"/>
  <c r="E9" i="1"/>
  <c r="D9" i="1"/>
  <c r="F9" i="1" s="1"/>
  <c r="H9" i="1" s="1"/>
  <c r="J9" i="1" s="1"/>
  <c r="Z8" i="1"/>
  <c r="W8" i="1"/>
  <c r="U8" i="1"/>
  <c r="T8" i="1"/>
  <c r="V8" i="1" s="1"/>
  <c r="X8" i="1" s="1"/>
  <c r="S8" i="1"/>
  <c r="Q8" i="1"/>
  <c r="O8" i="1"/>
  <c r="M8" i="1"/>
  <c r="K8" i="1"/>
  <c r="I8" i="1"/>
  <c r="G8" i="1"/>
  <c r="E8" i="1"/>
  <c r="C8" i="1"/>
  <c r="AA7" i="1"/>
  <c r="X7" i="1"/>
  <c r="V7" i="1"/>
  <c r="T7" i="1"/>
  <c r="R7" i="1"/>
  <c r="P7" i="1"/>
  <c r="N7" i="1"/>
  <c r="L7" i="1"/>
  <c r="J7" i="1"/>
  <c r="H7" i="1"/>
  <c r="F7" i="1"/>
  <c r="D7" i="1"/>
  <c r="D46" i="1" s="1"/>
  <c r="B7" i="1"/>
  <c r="B46" i="1" s="1"/>
  <c r="T46" i="1" l="1"/>
  <c r="H46" i="1"/>
  <c r="J46" i="1"/>
  <c r="F46" i="1"/>
  <c r="M46" i="1"/>
  <c r="X46" i="1"/>
  <c r="L46" i="1"/>
  <c r="I11" i="1"/>
  <c r="K11" i="1" s="1"/>
  <c r="M11" i="1" s="1"/>
  <c r="O11" i="1" s="1"/>
  <c r="Q11" i="1" s="1"/>
  <c r="S11" i="1" s="1"/>
  <c r="V46" i="1"/>
  <c r="N46" i="1"/>
  <c r="E46" i="1"/>
  <c r="P46" i="1"/>
  <c r="R46" i="1"/>
  <c r="Q9" i="1"/>
  <c r="S9" i="1" s="1"/>
  <c r="E15" i="1"/>
  <c r="G15" i="1" s="1"/>
  <c r="I15" i="1" s="1"/>
  <c r="K15" i="1" s="1"/>
  <c r="M15" i="1" s="1"/>
  <c r="O15" i="1" s="1"/>
  <c r="Q15" i="1" s="1"/>
  <c r="S15" i="1" s="1"/>
  <c r="U15" i="1" s="1"/>
  <c r="W15" i="1" s="1"/>
  <c r="Y15" i="1" s="1"/>
  <c r="Z7" i="1"/>
  <c r="Z46" i="1" s="1"/>
  <c r="Y8" i="1"/>
  <c r="Q46" i="1" l="1"/>
  <c r="AA8" i="1"/>
  <c r="S46" i="1"/>
  <c r="U9" i="1"/>
  <c r="K46" i="1"/>
  <c r="O46" i="1"/>
  <c r="I46" i="1"/>
  <c r="G46" i="1"/>
  <c r="W9" i="1" l="1"/>
  <c r="U46" i="1"/>
  <c r="Y9" i="1" l="1"/>
  <c r="W46" i="1"/>
  <c r="AA9" i="1" l="1"/>
  <c r="AA46" i="1" s="1"/>
  <c r="Y46" i="1"/>
</calcChain>
</file>

<file path=xl/sharedStrings.xml><?xml version="1.0" encoding="utf-8"?>
<sst xmlns="http://schemas.openxmlformats.org/spreadsheetml/2006/main" count="83" uniqueCount="59">
  <si>
    <t>Western Cass Fire Protection District</t>
  </si>
  <si>
    <t>Trial Balance</t>
  </si>
  <si>
    <t>As of January 5, 2023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</si>
  <si>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</si>
  <si>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</si>
  <si>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</si>
  <si>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</si>
  <si>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</si>
  <si>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</si>
  <si>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</si>
  <si>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</si>
  <si>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</si>
  <si>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</si>
  <si>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</si>
  <si>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</si>
  <si>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1-5, 2023</t>
  </si>
  <si>
    <t>Debit</t>
  </si>
  <si>
    <t>Credit</t>
  </si>
  <si>
    <t>1000 General Fund</t>
  </si>
  <si>
    <t>2015 Accounts Payable (A/P)</t>
  </si>
  <si>
    <t>Payroll wages and tax to pay:Wages to pay</t>
  </si>
  <si>
    <t>3005 Retained Earnings</t>
  </si>
  <si>
    <t>4005 Insurance Proceeds</t>
  </si>
  <si>
    <t>4015 Reimbursed Expenditures</t>
  </si>
  <si>
    <t>4020 Tax Revenue</t>
  </si>
  <si>
    <t>4022 Tax Revenue:Financial Institutions Tax</t>
  </si>
  <si>
    <t>9998 Uncategorized Income</t>
  </si>
  <si>
    <t>6000 Administrative Expenditures</t>
  </si>
  <si>
    <t>6001 Administrative Expenditures:Advertising and Marketing</t>
  </si>
  <si>
    <t>6008 Administrative Expenditures:Office Expense</t>
  </si>
  <si>
    <t>6010 Facility Expenditures</t>
  </si>
  <si>
    <t>6011 Facility Expenditures:Building and Grounds</t>
  </si>
  <si>
    <t>6013 Facility Expenditures:Electricity</t>
  </si>
  <si>
    <t>6017 Facility Expenditures:Propane Gas</t>
  </si>
  <si>
    <t>6018 Facility Expenditures:Security</t>
  </si>
  <si>
    <t>6019 Facility Expenditures:Telephone</t>
  </si>
  <si>
    <t>6020 Facility Expenditures:Trash Removal</t>
  </si>
  <si>
    <t>6021 Facility Expenditures:Water</t>
  </si>
  <si>
    <t>6025 Human Resources</t>
  </si>
  <si>
    <t>6028 Human Resources:Training</t>
  </si>
  <si>
    <t>6029 Human Resources:Workers Compensation Insurance</t>
  </si>
  <si>
    <t>6031 Legal and Professional Services:Accounting</t>
  </si>
  <si>
    <t>6033 Legal and Professional Services:Legal</t>
  </si>
  <si>
    <t>6041 Operational Expenditures:Clothing and PPE</t>
  </si>
  <si>
    <t>6042 Operational Expenditures:Communications</t>
  </si>
  <si>
    <t>6043 Operational Expenditures:Emergency Medical Services (EMS)</t>
  </si>
  <si>
    <t>6044 Operational Expenditures:Fire</t>
  </si>
  <si>
    <t>6045 Operational Expenditures:Fuel</t>
  </si>
  <si>
    <t>6046 Operational Expenditures:Maintenance and Repairs</t>
  </si>
  <si>
    <t>Advertising &amp; marketing</t>
  </si>
  <si>
    <t>Contract &amp; professional fees:Legal fees</t>
  </si>
  <si>
    <t>Insurance</t>
  </si>
  <si>
    <t>Office expenses:Bank fees &amp; service charges</t>
  </si>
  <si>
    <t>Office expenses:Internet &amp; TV services</t>
  </si>
  <si>
    <t>Payroll expenses:Salaries &amp; wages</t>
  </si>
  <si>
    <t>7000 Sale of Assets</t>
  </si>
  <si>
    <t>Vehicle expenses:Vehicle repairs</t>
  </si>
  <si>
    <t>TOTAL</t>
  </si>
  <si>
    <t>Thursday, Jan 05, 2023 01:50:05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</si>
</sst>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tabSelected="1" workbookViewId="0">
      <selection sqref="A1:AA1"/>
    </sheetView>
  </sheetViews>
  <sheetFormatPr defaultRowHeight="14.45"/>
  <cols>
    <col min="1" max="1" width="54.140625" customWidth="1"/>
    <col min="2" max="27" width="10.28515625" customWidth="1"/>
  </cols>
  <sheetData>
    <row r="1" spans="1:27" ht="17.45">
      <c r="A1" s="10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7.45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5" spans="1:27">
      <c r="A5" s="1"/>
      <c r="B5" s="7" t="s">
        <v>3</v>
      </c>
      <c r="C5" s="8"/>
      <c r="D5" s="7" t="s">
        <v>4</v>
      </c>
      <c r="E5" s="8"/>
      <c r="F5" s="7" t="s">
        <v>5</v>
      </c>
      <c r="G5" s="8"/>
      <c r="H5" s="7" t="s">
        <v>6</v>
      </c>
      <c r="I5" s="8"/>
      <c r="J5" s="7" t="s">
        <v>7</v>
      </c>
      <c r="K5" s="8"/>
      <c r="L5" s="7" t="s">
        <v>8</v>
      </c>
      <c r="M5" s="8"/>
      <c r="N5" s="7" t="s">
        <v>9</v>
      </c>
      <c r="O5" s="8"/>
      <c r="P5" s="7" t="s">
        <v>10</v>
      </c>
      <c r="Q5" s="8"/>
      <c r="R5" s="7" t="s">
        <v>11</v>
      </c>
      <c r="S5" s="8"/>
      <c r="T5" s="7" t="s">
        <v>12</v>
      </c>
      <c r="U5" s="8"/>
      <c r="V5" s="7" t="s">
        <v>13</v>
      </c>
      <c r="W5" s="8"/>
      <c r="X5" s="7" t="s">
        <v>14</v>
      </c>
      <c r="Y5" s="8"/>
      <c r="Z5" s="7" t="s">
        <v>15</v>
      </c>
      <c r="AA5" s="8"/>
    </row>
    <row r="6" spans="1:27">
      <c r="A6" s="1"/>
      <c r="B6" s="2" t="s">
        <v>16</v>
      </c>
      <c r="C6" s="2" t="s">
        <v>17</v>
      </c>
      <c r="D6" s="2" t="s">
        <v>16</v>
      </c>
      <c r="E6" s="2" t="s">
        <v>17</v>
      </c>
      <c r="F6" s="2" t="s">
        <v>16</v>
      </c>
      <c r="G6" s="2" t="s">
        <v>17</v>
      </c>
      <c r="H6" s="2" t="s">
        <v>16</v>
      </c>
      <c r="I6" s="2" t="s">
        <v>17</v>
      </c>
      <c r="J6" s="2" t="s">
        <v>16</v>
      </c>
      <c r="K6" s="2" t="s">
        <v>17</v>
      </c>
      <c r="L6" s="2" t="s">
        <v>16</v>
      </c>
      <c r="M6" s="2" t="s">
        <v>17</v>
      </c>
      <c r="N6" s="2" t="s">
        <v>16</v>
      </c>
      <c r="O6" s="2" t="s">
        <v>17</v>
      </c>
      <c r="P6" s="2" t="s">
        <v>16</v>
      </c>
      <c r="Q6" s="2" t="s">
        <v>17</v>
      </c>
      <c r="R6" s="2" t="s">
        <v>16</v>
      </c>
      <c r="S6" s="2" t="s">
        <v>17</v>
      </c>
      <c r="T6" s="2" t="s">
        <v>16</v>
      </c>
      <c r="U6" s="2" t="s">
        <v>17</v>
      </c>
      <c r="V6" s="2" t="s">
        <v>16</v>
      </c>
      <c r="W6" s="2" t="s">
        <v>17</v>
      </c>
      <c r="X6" s="2" t="s">
        <v>16</v>
      </c>
      <c r="Y6" s="2" t="s">
        <v>17</v>
      </c>
      <c r="Z6" s="2" t="s">
        <v>16</v>
      </c>
      <c r="AA6" s="2" t="s">
        <v>17</v>
      </c>
    </row>
    <row r="7" spans="1:27">
      <c r="A7" s="3" t="s">
        <v>18</v>
      </c>
      <c r="B7" s="4">
        <f>380909.94</f>
        <v>380909.94</v>
      </c>
      <c r="C7" s="5"/>
      <c r="D7" s="4">
        <f>381582.95</f>
        <v>381582.95</v>
      </c>
      <c r="E7" s="5"/>
      <c r="F7" s="4">
        <f>361359.59</f>
        <v>361359.59</v>
      </c>
      <c r="G7" s="5"/>
      <c r="H7" s="4">
        <f>345633.54</f>
        <v>345633.54</v>
      </c>
      <c r="I7" s="5"/>
      <c r="J7" s="4">
        <f>341426.71</f>
        <v>341426.71</v>
      </c>
      <c r="K7" s="5"/>
      <c r="L7" s="4">
        <f>337101.86</f>
        <v>337101.86</v>
      </c>
      <c r="M7" s="5"/>
      <c r="N7" s="4">
        <f>330317.21</f>
        <v>330317.21000000002</v>
      </c>
      <c r="O7" s="5"/>
      <c r="P7" s="4">
        <f>319032.68</f>
        <v>319032.68</v>
      </c>
      <c r="Q7" s="5"/>
      <c r="R7" s="4">
        <f>306218.21</f>
        <v>306218.21000000002</v>
      </c>
      <c r="S7" s="5"/>
      <c r="T7" s="4">
        <f>269652.72</f>
        <v>269652.71999999997</v>
      </c>
      <c r="U7" s="5"/>
      <c r="V7" s="4">
        <f>247089.43</f>
        <v>247089.43</v>
      </c>
      <c r="W7" s="5"/>
      <c r="X7" s="4">
        <f>247249.43</f>
        <v>247249.43</v>
      </c>
      <c r="Y7" s="5"/>
      <c r="Z7" s="4">
        <f t="shared" ref="Z7:AA9" si="0">X7</f>
        <v>247249.43</v>
      </c>
      <c r="AA7" s="4">
        <f t="shared" si="0"/>
        <v>0</v>
      </c>
    </row>
    <row r="8" spans="1:27">
      <c r="A8" s="3" t="s">
        <v>19</v>
      </c>
      <c r="B8" s="5"/>
      <c r="C8" s="4">
        <f>2826.6</f>
        <v>2826.6</v>
      </c>
      <c r="D8" s="5"/>
      <c r="E8" s="4">
        <f>4991.27</f>
        <v>4991.2700000000004</v>
      </c>
      <c r="F8" s="5"/>
      <c r="G8" s="4">
        <f>11193.26</f>
        <v>11193.26</v>
      </c>
      <c r="H8" s="5"/>
      <c r="I8" s="4">
        <f>4154.64</f>
        <v>4154.6400000000003</v>
      </c>
      <c r="J8" s="5"/>
      <c r="K8" s="4">
        <f>1686.14</f>
        <v>1686.14</v>
      </c>
      <c r="L8" s="5"/>
      <c r="M8" s="4">
        <f>116.26</f>
        <v>116.26</v>
      </c>
      <c r="N8" s="5"/>
      <c r="O8" s="4">
        <f>1073.38</f>
        <v>1073.3800000000001</v>
      </c>
      <c r="P8" s="5"/>
      <c r="Q8" s="4">
        <f>172.69</f>
        <v>172.69</v>
      </c>
      <c r="R8" s="5"/>
      <c r="S8" s="4">
        <f>127.08</f>
        <v>127.08</v>
      </c>
      <c r="T8" s="4">
        <f t="shared" ref="T8:Y10" si="1">R8</f>
        <v>0</v>
      </c>
      <c r="U8" s="4">
        <f t="shared" si="1"/>
        <v>127.08</v>
      </c>
      <c r="V8" s="4">
        <f t="shared" si="1"/>
        <v>0</v>
      </c>
      <c r="W8" s="4">
        <f t="shared" si="1"/>
        <v>127.08</v>
      </c>
      <c r="X8" s="4">
        <f t="shared" si="1"/>
        <v>0</v>
      </c>
      <c r="Y8" s="4">
        <f t="shared" si="1"/>
        <v>127.08</v>
      </c>
      <c r="Z8" s="4">
        <f t="shared" si="0"/>
        <v>0</v>
      </c>
      <c r="AA8" s="4">
        <f t="shared" si="0"/>
        <v>127.08</v>
      </c>
    </row>
    <row r="9" spans="1:27">
      <c r="A9" s="3" t="s">
        <v>20</v>
      </c>
      <c r="B9" s="5"/>
      <c r="C9" s="5"/>
      <c r="D9" s="4">
        <f t="shared" ref="D9:K12" si="2">B9</f>
        <v>0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4">
        <f t="shared" si="2"/>
        <v>0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>735</f>
        <v>735</v>
      </c>
      <c r="M9" s="5"/>
      <c r="N9" s="4">
        <f t="shared" ref="N9:S11" si="3">L9</f>
        <v>735</v>
      </c>
      <c r="O9" s="4">
        <f t="shared" si="3"/>
        <v>0</v>
      </c>
      <c r="P9" s="4">
        <f t="shared" si="3"/>
        <v>735</v>
      </c>
      <c r="Q9" s="4">
        <f t="shared" si="3"/>
        <v>0</v>
      </c>
      <c r="R9" s="4">
        <f t="shared" si="3"/>
        <v>735</v>
      </c>
      <c r="S9" s="4">
        <f t="shared" si="3"/>
        <v>0</v>
      </c>
      <c r="T9" s="4">
        <f t="shared" si="1"/>
        <v>735</v>
      </c>
      <c r="U9" s="4">
        <f t="shared" si="1"/>
        <v>0</v>
      </c>
      <c r="V9" s="4">
        <f t="shared" si="1"/>
        <v>735</v>
      </c>
      <c r="W9" s="4">
        <f t="shared" si="1"/>
        <v>0</v>
      </c>
      <c r="X9" s="4">
        <f t="shared" si="1"/>
        <v>735</v>
      </c>
      <c r="Y9" s="4">
        <f t="shared" si="1"/>
        <v>0</v>
      </c>
      <c r="Z9" s="4">
        <f t="shared" si="0"/>
        <v>735</v>
      </c>
      <c r="AA9" s="4">
        <f t="shared" si="0"/>
        <v>0</v>
      </c>
    </row>
    <row r="10" spans="1:27">
      <c r="A10" s="3" t="s">
        <v>21</v>
      </c>
      <c r="B10" s="4">
        <f>2798.07</f>
        <v>2798.07</v>
      </c>
      <c r="C10" s="5"/>
      <c r="D10" s="4">
        <f t="shared" si="2"/>
        <v>2798.07</v>
      </c>
      <c r="E10" s="4">
        <f t="shared" si="2"/>
        <v>0</v>
      </c>
      <c r="F10" s="4">
        <f t="shared" si="2"/>
        <v>2798.07</v>
      </c>
      <c r="G10" s="4">
        <f t="shared" si="2"/>
        <v>0</v>
      </c>
      <c r="H10" s="4">
        <f t="shared" si="2"/>
        <v>2798.07</v>
      </c>
      <c r="I10" s="4">
        <f t="shared" si="2"/>
        <v>0</v>
      </c>
      <c r="J10" s="4">
        <f t="shared" si="2"/>
        <v>2798.07</v>
      </c>
      <c r="K10" s="4">
        <f t="shared" si="2"/>
        <v>0</v>
      </c>
      <c r="L10" s="4">
        <f>J10</f>
        <v>2798.07</v>
      </c>
      <c r="M10" s="4">
        <f>K10</f>
        <v>0</v>
      </c>
      <c r="N10" s="4">
        <f t="shared" si="3"/>
        <v>2798.07</v>
      </c>
      <c r="O10" s="4">
        <f t="shared" si="3"/>
        <v>0</v>
      </c>
      <c r="P10" s="4">
        <f t="shared" si="3"/>
        <v>2798.07</v>
      </c>
      <c r="Q10" s="4">
        <f t="shared" si="3"/>
        <v>0</v>
      </c>
      <c r="R10" s="4">
        <f t="shared" si="3"/>
        <v>2798.07</v>
      </c>
      <c r="S10" s="4">
        <f t="shared" si="3"/>
        <v>0</v>
      </c>
      <c r="T10" s="4">
        <f t="shared" si="1"/>
        <v>2798.07</v>
      </c>
      <c r="U10" s="4">
        <f t="shared" si="1"/>
        <v>0</v>
      </c>
      <c r="V10" s="4">
        <f t="shared" si="1"/>
        <v>2798.07</v>
      </c>
      <c r="W10" s="4">
        <f t="shared" si="1"/>
        <v>0</v>
      </c>
      <c r="X10" s="4">
        <f t="shared" si="1"/>
        <v>2798.07</v>
      </c>
      <c r="Y10" s="4">
        <f t="shared" si="1"/>
        <v>0</v>
      </c>
      <c r="Z10" s="5"/>
      <c r="AA10" s="4">
        <f>247857.35</f>
        <v>247857.35</v>
      </c>
    </row>
    <row r="11" spans="1:27">
      <c r="A11" s="3" t="s">
        <v>22</v>
      </c>
      <c r="B11" s="5"/>
      <c r="C11" s="5"/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>J11</f>
        <v>0</v>
      </c>
      <c r="M11" s="4">
        <f>K11</f>
        <v>0</v>
      </c>
      <c r="N11" s="4">
        <f t="shared" si="3"/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5"/>
      <c r="U11" s="4">
        <f>9436.02</f>
        <v>9436.02</v>
      </c>
      <c r="V11" s="4">
        <f>T11</f>
        <v>0</v>
      </c>
      <c r="W11" s="4">
        <f>U11</f>
        <v>9436.02</v>
      </c>
      <c r="X11" s="4">
        <f>V11</f>
        <v>0</v>
      </c>
      <c r="Y11" s="4">
        <f>W11</f>
        <v>9436.02</v>
      </c>
      <c r="Z11" s="5"/>
      <c r="AA11" s="5"/>
    </row>
    <row r="12" spans="1:27">
      <c r="A12" s="3" t="s">
        <v>23</v>
      </c>
      <c r="B12" s="5"/>
      <c r="C12" s="5"/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5"/>
      <c r="M12" s="4">
        <f>173.93</f>
        <v>173.93</v>
      </c>
      <c r="N12" s="4">
        <f>L12</f>
        <v>0</v>
      </c>
      <c r="O12" s="4">
        <f>M12</f>
        <v>173.93</v>
      </c>
      <c r="P12" s="4">
        <f>148.84</f>
        <v>148.84</v>
      </c>
      <c r="Q12" s="5"/>
      <c r="R12" s="4">
        <f t="shared" ref="R12:W12" si="4">P12</f>
        <v>148.84</v>
      </c>
      <c r="S12" s="4">
        <f t="shared" si="4"/>
        <v>0</v>
      </c>
      <c r="T12" s="4">
        <f t="shared" si="4"/>
        <v>148.84</v>
      </c>
      <c r="U12" s="4">
        <f t="shared" si="4"/>
        <v>0</v>
      </c>
      <c r="V12" s="4">
        <f t="shared" si="4"/>
        <v>148.84</v>
      </c>
      <c r="W12" s="4">
        <f t="shared" si="4"/>
        <v>0</v>
      </c>
      <c r="X12" s="5"/>
      <c r="Y12" s="4">
        <f>11.16</f>
        <v>11.16</v>
      </c>
      <c r="Z12" s="5"/>
      <c r="AA12" s="5"/>
    </row>
    <row r="13" spans="1:27">
      <c r="A13" s="3" t="s">
        <v>24</v>
      </c>
      <c r="B13" s="5"/>
      <c r="C13" s="4">
        <f>207049.58</f>
        <v>207049.58</v>
      </c>
      <c r="D13" s="5"/>
      <c r="E13" s="4">
        <f>211571.06</f>
        <v>211571.06</v>
      </c>
      <c r="F13" s="5"/>
      <c r="G13" s="4">
        <f>213965.85</f>
        <v>213965.85</v>
      </c>
      <c r="H13" s="5"/>
      <c r="I13" s="4">
        <f>216782.75</f>
        <v>216782.75</v>
      </c>
      <c r="J13" s="5"/>
      <c r="K13" s="4">
        <f>218800.46</f>
        <v>218800.46</v>
      </c>
      <c r="L13" s="5"/>
      <c r="M13" s="4">
        <f>220349.18</f>
        <v>220349.18</v>
      </c>
      <c r="N13" s="5"/>
      <c r="O13" s="4">
        <f>222034.72</f>
        <v>222034.72</v>
      </c>
      <c r="P13" s="5"/>
      <c r="Q13" s="4">
        <f>225594.04</f>
        <v>225594.04</v>
      </c>
      <c r="R13" s="4">
        <f t="shared" ref="R13:S15" si="5">P13</f>
        <v>0</v>
      </c>
      <c r="S13" s="4">
        <f t="shared" si="5"/>
        <v>225594.04</v>
      </c>
      <c r="T13" s="5"/>
      <c r="U13" s="4">
        <f>225886.94</f>
        <v>225886.94</v>
      </c>
      <c r="V13" s="5"/>
      <c r="W13" s="4">
        <f>226200.65</f>
        <v>226200.65</v>
      </c>
      <c r="X13" s="4">
        <f t="shared" ref="X13:X45" si="6">V13</f>
        <v>0</v>
      </c>
      <c r="Y13" s="4">
        <f t="shared" ref="Y13:Y45" si="7">W13</f>
        <v>226200.65</v>
      </c>
      <c r="Z13" s="5"/>
      <c r="AA13" s="5"/>
    </row>
    <row r="14" spans="1:27">
      <c r="A14" s="3" t="s">
        <v>25</v>
      </c>
      <c r="B14" s="5"/>
      <c r="C14" s="5"/>
      <c r="D14" s="4">
        <f t="shared" ref="D14:K17" si="8">B14</f>
        <v>0</v>
      </c>
      <c r="E14" s="4">
        <f t="shared" si="8"/>
        <v>0</v>
      </c>
      <c r="F14" s="4">
        <f t="shared" si="8"/>
        <v>0</v>
      </c>
      <c r="G14" s="4">
        <f t="shared" si="8"/>
        <v>0</v>
      </c>
      <c r="H14" s="4">
        <f t="shared" si="8"/>
        <v>0</v>
      </c>
      <c r="I14" s="4">
        <f t="shared" si="8"/>
        <v>0</v>
      </c>
      <c r="J14" s="4">
        <f t="shared" si="8"/>
        <v>0</v>
      </c>
      <c r="K14" s="4">
        <f t="shared" si="8"/>
        <v>0</v>
      </c>
      <c r="L14" s="5"/>
      <c r="M14" s="4">
        <f>10.84</f>
        <v>10.84</v>
      </c>
      <c r="N14" s="4">
        <f t="shared" ref="N14:Q17" si="9">L14</f>
        <v>0</v>
      </c>
      <c r="O14" s="4">
        <f t="shared" si="9"/>
        <v>10.84</v>
      </c>
      <c r="P14" s="4">
        <f t="shared" si="9"/>
        <v>0</v>
      </c>
      <c r="Q14" s="4">
        <f t="shared" si="9"/>
        <v>10.84</v>
      </c>
      <c r="R14" s="4">
        <f t="shared" si="5"/>
        <v>0</v>
      </c>
      <c r="S14" s="4">
        <f t="shared" si="5"/>
        <v>10.84</v>
      </c>
      <c r="T14" s="4">
        <f t="shared" ref="T14:W15" si="10">R14</f>
        <v>0</v>
      </c>
      <c r="U14" s="4">
        <f t="shared" si="10"/>
        <v>10.84</v>
      </c>
      <c r="V14" s="4">
        <f t="shared" si="10"/>
        <v>0</v>
      </c>
      <c r="W14" s="4">
        <f t="shared" si="10"/>
        <v>10.84</v>
      </c>
      <c r="X14" s="4">
        <f t="shared" si="6"/>
        <v>0</v>
      </c>
      <c r="Y14" s="4">
        <f t="shared" si="7"/>
        <v>10.84</v>
      </c>
      <c r="Z14" s="5"/>
      <c r="AA14" s="5"/>
    </row>
    <row r="15" spans="1:27">
      <c r="A15" s="3" t="s">
        <v>26</v>
      </c>
      <c r="B15" s="5"/>
      <c r="C15" s="4">
        <f>178470.91</f>
        <v>178470.91</v>
      </c>
      <c r="D15" s="4">
        <f t="shared" si="8"/>
        <v>0</v>
      </c>
      <c r="E15" s="4">
        <f t="shared" si="8"/>
        <v>178470.91</v>
      </c>
      <c r="F15" s="4">
        <f t="shared" si="8"/>
        <v>0</v>
      </c>
      <c r="G15" s="4">
        <f t="shared" si="8"/>
        <v>178470.91</v>
      </c>
      <c r="H15" s="4">
        <f t="shared" si="8"/>
        <v>0</v>
      </c>
      <c r="I15" s="4">
        <f t="shared" si="8"/>
        <v>178470.91</v>
      </c>
      <c r="J15" s="4">
        <f t="shared" si="8"/>
        <v>0</v>
      </c>
      <c r="K15" s="4">
        <f t="shared" si="8"/>
        <v>178470.91</v>
      </c>
      <c r="L15" s="4">
        <f t="shared" ref="L15:M17" si="11">J15</f>
        <v>0</v>
      </c>
      <c r="M15" s="4">
        <f t="shared" si="11"/>
        <v>178470.91</v>
      </c>
      <c r="N15" s="4">
        <f t="shared" si="9"/>
        <v>0</v>
      </c>
      <c r="O15" s="4">
        <f t="shared" si="9"/>
        <v>178470.91</v>
      </c>
      <c r="P15" s="4">
        <f t="shared" si="9"/>
        <v>0</v>
      </c>
      <c r="Q15" s="4">
        <f t="shared" si="9"/>
        <v>178470.91</v>
      </c>
      <c r="R15" s="4">
        <f t="shared" si="5"/>
        <v>0</v>
      </c>
      <c r="S15" s="4">
        <f t="shared" si="5"/>
        <v>178470.91</v>
      </c>
      <c r="T15" s="4">
        <f t="shared" si="10"/>
        <v>0</v>
      </c>
      <c r="U15" s="4">
        <f t="shared" si="10"/>
        <v>178470.91</v>
      </c>
      <c r="V15" s="4">
        <f t="shared" si="10"/>
        <v>0</v>
      </c>
      <c r="W15" s="4">
        <f t="shared" si="10"/>
        <v>178470.91</v>
      </c>
      <c r="X15" s="4">
        <f t="shared" si="6"/>
        <v>0</v>
      </c>
      <c r="Y15" s="4">
        <f t="shared" si="7"/>
        <v>178470.91</v>
      </c>
      <c r="Z15" s="5"/>
      <c r="AA15" s="5"/>
    </row>
    <row r="16" spans="1:27">
      <c r="A16" s="3" t="s">
        <v>27</v>
      </c>
      <c r="B16" s="5"/>
      <c r="C16" s="5"/>
      <c r="D16" s="4">
        <f t="shared" si="8"/>
        <v>0</v>
      </c>
      <c r="E16" s="4">
        <f t="shared" si="8"/>
        <v>0</v>
      </c>
      <c r="F16" s="4">
        <f t="shared" si="8"/>
        <v>0</v>
      </c>
      <c r="G16" s="4">
        <f t="shared" si="8"/>
        <v>0</v>
      </c>
      <c r="H16" s="4">
        <f t="shared" si="8"/>
        <v>0</v>
      </c>
      <c r="I16" s="4">
        <f t="shared" si="8"/>
        <v>0</v>
      </c>
      <c r="J16" s="4">
        <f t="shared" si="8"/>
        <v>0</v>
      </c>
      <c r="K16" s="4">
        <f t="shared" si="8"/>
        <v>0</v>
      </c>
      <c r="L16" s="4">
        <f t="shared" si="11"/>
        <v>0</v>
      </c>
      <c r="M16" s="4">
        <f t="shared" si="11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>115</f>
        <v>115</v>
      </c>
      <c r="S16" s="5"/>
      <c r="T16" s="4">
        <f>2680.07</f>
        <v>2680.07</v>
      </c>
      <c r="U16" s="5"/>
      <c r="V16" s="4">
        <f>5662.83</f>
        <v>5662.83</v>
      </c>
      <c r="W16" s="5"/>
      <c r="X16" s="4">
        <f t="shared" si="6"/>
        <v>5662.83</v>
      </c>
      <c r="Y16" s="4">
        <f t="shared" si="7"/>
        <v>0</v>
      </c>
      <c r="Z16" s="5"/>
      <c r="AA16" s="5"/>
    </row>
    <row r="17" spans="1:27">
      <c r="A17" s="3" t="s">
        <v>28</v>
      </c>
      <c r="B17" s="5"/>
      <c r="C17" s="5"/>
      <c r="D17" s="4">
        <f t="shared" si="8"/>
        <v>0</v>
      </c>
      <c r="E17" s="4">
        <f t="shared" si="8"/>
        <v>0</v>
      </c>
      <c r="F17" s="4">
        <f t="shared" si="8"/>
        <v>0</v>
      </c>
      <c r="G17" s="4">
        <f t="shared" si="8"/>
        <v>0</v>
      </c>
      <c r="H17" s="4">
        <f t="shared" si="8"/>
        <v>0</v>
      </c>
      <c r="I17" s="4">
        <f t="shared" si="8"/>
        <v>0</v>
      </c>
      <c r="J17" s="4">
        <f t="shared" si="8"/>
        <v>0</v>
      </c>
      <c r="K17" s="4">
        <f t="shared" si="8"/>
        <v>0</v>
      </c>
      <c r="L17" s="4">
        <f t="shared" si="11"/>
        <v>0</v>
      </c>
      <c r="M17" s="4">
        <f t="shared" si="11"/>
        <v>0</v>
      </c>
      <c r="N17" s="4">
        <f t="shared" si="9"/>
        <v>0</v>
      </c>
      <c r="O17" s="4">
        <f t="shared" si="9"/>
        <v>0</v>
      </c>
      <c r="P17" s="4">
        <f t="shared" si="9"/>
        <v>0</v>
      </c>
      <c r="Q17" s="4">
        <f t="shared" si="9"/>
        <v>0</v>
      </c>
      <c r="R17" s="4">
        <f>246.4</f>
        <v>246.4</v>
      </c>
      <c r="S17" s="5"/>
      <c r="T17" s="4">
        <f t="shared" ref="T17:W18" si="12">R17</f>
        <v>246.4</v>
      </c>
      <c r="U17" s="4">
        <f t="shared" si="12"/>
        <v>0</v>
      </c>
      <c r="V17" s="4">
        <f t="shared" si="12"/>
        <v>246.4</v>
      </c>
      <c r="W17" s="4">
        <f t="shared" si="12"/>
        <v>0</v>
      </c>
      <c r="X17" s="4">
        <f t="shared" si="6"/>
        <v>246.4</v>
      </c>
      <c r="Y17" s="4">
        <f t="shared" si="7"/>
        <v>0</v>
      </c>
      <c r="Z17" s="5"/>
      <c r="AA17" s="5"/>
    </row>
    <row r="18" spans="1:27">
      <c r="A18" s="3" t="s">
        <v>29</v>
      </c>
      <c r="B18" s="4">
        <f>41.91</f>
        <v>41.91</v>
      </c>
      <c r="C18" s="5"/>
      <c r="D18" s="4">
        <f>75.91</f>
        <v>75.91</v>
      </c>
      <c r="E18" s="5"/>
      <c r="F18" s="4">
        <f>109.91</f>
        <v>109.91</v>
      </c>
      <c r="G18" s="5"/>
      <c r="H18" s="4">
        <f>143.91</f>
        <v>143.91</v>
      </c>
      <c r="I18" s="5"/>
      <c r="J18" s="4">
        <f>177.91</f>
        <v>177.91</v>
      </c>
      <c r="K18" s="5"/>
      <c r="L18" s="4">
        <f>211.91</f>
        <v>211.91</v>
      </c>
      <c r="M18" s="5"/>
      <c r="N18" s="4">
        <f>245.91</f>
        <v>245.91</v>
      </c>
      <c r="O18" s="5"/>
      <c r="P18" s="4">
        <f>279.91</f>
        <v>279.91000000000003</v>
      </c>
      <c r="Q18" s="5"/>
      <c r="R18" s="4">
        <f>P18</f>
        <v>279.91000000000003</v>
      </c>
      <c r="S18" s="4">
        <f>Q18</f>
        <v>0</v>
      </c>
      <c r="T18" s="4">
        <f t="shared" si="12"/>
        <v>279.91000000000003</v>
      </c>
      <c r="U18" s="4">
        <f t="shared" si="12"/>
        <v>0</v>
      </c>
      <c r="V18" s="4">
        <f t="shared" si="12"/>
        <v>279.91000000000003</v>
      </c>
      <c r="W18" s="4">
        <f t="shared" si="12"/>
        <v>0</v>
      </c>
      <c r="X18" s="4">
        <f t="shared" si="6"/>
        <v>279.91000000000003</v>
      </c>
      <c r="Y18" s="4">
        <f t="shared" si="7"/>
        <v>0</v>
      </c>
      <c r="Z18" s="5"/>
      <c r="AA18" s="5"/>
    </row>
    <row r="19" spans="1:27">
      <c r="A19" s="3" t="s">
        <v>30</v>
      </c>
      <c r="B19" s="5"/>
      <c r="C19" s="5"/>
      <c r="D19" s="4">
        <f>B19</f>
        <v>0</v>
      </c>
      <c r="E19" s="4">
        <f>C19</f>
        <v>0</v>
      </c>
      <c r="F19" s="4">
        <f>152.34</f>
        <v>152.34</v>
      </c>
      <c r="G19" s="5"/>
      <c r="H19" s="4">
        <f>193.12</f>
        <v>193.12</v>
      </c>
      <c r="I19" s="5"/>
      <c r="J19" s="4">
        <f>H19</f>
        <v>193.12</v>
      </c>
      <c r="K19" s="4">
        <f>I19</f>
        <v>0</v>
      </c>
      <c r="L19" s="4">
        <f>1668.88</f>
        <v>1668.88</v>
      </c>
      <c r="M19" s="5"/>
      <c r="N19" s="4">
        <f>L19</f>
        <v>1668.88</v>
      </c>
      <c r="O19" s="4">
        <f>M19</f>
        <v>0</v>
      </c>
      <c r="P19" s="4">
        <f>N19</f>
        <v>1668.88</v>
      </c>
      <c r="Q19" s="4">
        <f>O19</f>
        <v>0</v>
      </c>
      <c r="R19" s="4">
        <f>P19</f>
        <v>1668.88</v>
      </c>
      <c r="S19" s="4">
        <f>Q19</f>
        <v>0</v>
      </c>
      <c r="T19" s="4">
        <f>39382.38</f>
        <v>39382.379999999997</v>
      </c>
      <c r="U19" s="5"/>
      <c r="V19" s="4">
        <f>42882.38</f>
        <v>42882.38</v>
      </c>
      <c r="W19" s="5"/>
      <c r="X19" s="4">
        <f t="shared" si="6"/>
        <v>42882.38</v>
      </c>
      <c r="Y19" s="4">
        <f t="shared" si="7"/>
        <v>0</v>
      </c>
      <c r="Z19" s="5"/>
      <c r="AA19" s="5"/>
    </row>
    <row r="20" spans="1:27">
      <c r="A20" s="3" t="s">
        <v>31</v>
      </c>
      <c r="B20" s="5"/>
      <c r="C20" s="5"/>
      <c r="D20" s="4">
        <f>B20</f>
        <v>0</v>
      </c>
      <c r="E20" s="4">
        <f>C20</f>
        <v>0</v>
      </c>
      <c r="F20" s="4">
        <f>D20</f>
        <v>0</v>
      </c>
      <c r="G20" s="4">
        <f>E20</f>
        <v>0</v>
      </c>
      <c r="H20" s="4">
        <f>2650</f>
        <v>2650</v>
      </c>
      <c r="I20" s="5"/>
      <c r="J20" s="4">
        <f>3100</f>
        <v>3100</v>
      </c>
      <c r="K20" s="5"/>
      <c r="L20" s="4">
        <f>3700</f>
        <v>3700</v>
      </c>
      <c r="M20" s="5"/>
      <c r="N20" s="4">
        <f>4150</f>
        <v>4150</v>
      </c>
      <c r="O20" s="5"/>
      <c r="P20" s="4">
        <f>N20</f>
        <v>4150</v>
      </c>
      <c r="Q20" s="4">
        <f>O20</f>
        <v>0</v>
      </c>
      <c r="R20" s="4">
        <f>5438.64</f>
        <v>5438.64</v>
      </c>
      <c r="S20" s="5"/>
      <c r="T20" s="4">
        <f>7236.98</f>
        <v>7236.98</v>
      </c>
      <c r="U20" s="5"/>
      <c r="V20" s="4">
        <f>8035.62</f>
        <v>8035.62</v>
      </c>
      <c r="W20" s="5"/>
      <c r="X20" s="4">
        <f t="shared" si="6"/>
        <v>8035.62</v>
      </c>
      <c r="Y20" s="4">
        <f t="shared" si="7"/>
        <v>0</v>
      </c>
      <c r="Z20" s="5"/>
      <c r="AA20" s="5"/>
    </row>
    <row r="21" spans="1:27">
      <c r="A21" s="3" t="s">
        <v>32</v>
      </c>
      <c r="B21" s="4">
        <f>304.21</f>
        <v>304.20999999999998</v>
      </c>
      <c r="C21" s="5"/>
      <c r="D21" s="4">
        <f>588.85</f>
        <v>588.85</v>
      </c>
      <c r="E21" s="5"/>
      <c r="F21" s="4">
        <f>1105.11</f>
        <v>1105.1099999999999</v>
      </c>
      <c r="G21" s="5"/>
      <c r="H21" s="4">
        <f>F21</f>
        <v>1105.1099999999999</v>
      </c>
      <c r="I21" s="4">
        <f>G21</f>
        <v>0</v>
      </c>
      <c r="J21" s="4">
        <f>1290.26</f>
        <v>1290.26</v>
      </c>
      <c r="K21" s="5"/>
      <c r="L21" s="4">
        <f>1505.77</f>
        <v>1505.77</v>
      </c>
      <c r="M21" s="5"/>
      <c r="N21" s="4">
        <f>1715.31</f>
        <v>1715.31</v>
      </c>
      <c r="O21" s="5"/>
      <c r="P21" s="4">
        <f>2168.5</f>
        <v>2168.5</v>
      </c>
      <c r="Q21" s="5"/>
      <c r="R21" s="4">
        <f t="shared" ref="R21:W23" si="13">P21</f>
        <v>2168.5</v>
      </c>
      <c r="S21" s="4">
        <f t="shared" si="13"/>
        <v>0</v>
      </c>
      <c r="T21" s="4">
        <f t="shared" si="13"/>
        <v>2168.5</v>
      </c>
      <c r="U21" s="4">
        <f t="shared" si="13"/>
        <v>0</v>
      </c>
      <c r="V21" s="4">
        <f t="shared" si="13"/>
        <v>2168.5</v>
      </c>
      <c r="W21" s="4">
        <f t="shared" si="13"/>
        <v>0</v>
      </c>
      <c r="X21" s="4">
        <f t="shared" si="6"/>
        <v>2168.5</v>
      </c>
      <c r="Y21" s="4">
        <f t="shared" si="7"/>
        <v>0</v>
      </c>
      <c r="Z21" s="5"/>
      <c r="AA21" s="5"/>
    </row>
    <row r="22" spans="1:27">
      <c r="A22" s="3" t="s">
        <v>33</v>
      </c>
      <c r="B22" s="4">
        <f>1702.59</f>
        <v>1702.59</v>
      </c>
      <c r="C22" s="5"/>
      <c r="D22" s="4">
        <f t="shared" ref="D22:E24" si="14">B22</f>
        <v>1702.59</v>
      </c>
      <c r="E22" s="4">
        <f t="shared" si="14"/>
        <v>0</v>
      </c>
      <c r="F22" s="4">
        <f>2143.43</f>
        <v>2143.4299999999998</v>
      </c>
      <c r="G22" s="5"/>
      <c r="H22" s="4">
        <f>F22</f>
        <v>2143.4299999999998</v>
      </c>
      <c r="I22" s="4">
        <f>G22</f>
        <v>0</v>
      </c>
      <c r="J22" s="4">
        <f>2283.72</f>
        <v>2283.7199999999998</v>
      </c>
      <c r="K22" s="5"/>
      <c r="L22" s="4">
        <f>2342.86</f>
        <v>2342.86</v>
      </c>
      <c r="M22" s="5"/>
      <c r="N22" s="4">
        <f>2447.09</f>
        <v>2447.09</v>
      </c>
      <c r="O22" s="5"/>
      <c r="P22" s="4">
        <f>2492.7</f>
        <v>2492.6999999999998</v>
      </c>
      <c r="Q22" s="5"/>
      <c r="R22" s="4">
        <f t="shared" si="13"/>
        <v>2492.6999999999998</v>
      </c>
      <c r="S22" s="4">
        <f t="shared" si="13"/>
        <v>0</v>
      </c>
      <c r="T22" s="4">
        <f t="shared" si="13"/>
        <v>2492.6999999999998</v>
      </c>
      <c r="U22" s="4">
        <f t="shared" si="13"/>
        <v>0</v>
      </c>
      <c r="V22" s="4">
        <f t="shared" si="13"/>
        <v>2492.6999999999998</v>
      </c>
      <c r="W22" s="4">
        <f t="shared" si="13"/>
        <v>0</v>
      </c>
      <c r="X22" s="4">
        <f t="shared" si="6"/>
        <v>2492.6999999999998</v>
      </c>
      <c r="Y22" s="4">
        <f t="shared" si="7"/>
        <v>0</v>
      </c>
      <c r="Z22" s="5"/>
      <c r="AA22" s="5"/>
    </row>
    <row r="23" spans="1:27">
      <c r="A23" s="3" t="s">
        <v>34</v>
      </c>
      <c r="B23" s="5"/>
      <c r="C23" s="5"/>
      <c r="D23" s="4">
        <f t="shared" si="14"/>
        <v>0</v>
      </c>
      <c r="E23" s="4">
        <f t="shared" si="14"/>
        <v>0</v>
      </c>
      <c r="F23" s="4">
        <f>D23</f>
        <v>0</v>
      </c>
      <c r="G23" s="4">
        <f>E23</f>
        <v>0</v>
      </c>
      <c r="H23" s="4">
        <f>2699.91</f>
        <v>2699.91</v>
      </c>
      <c r="I23" s="5"/>
      <c r="J23" s="4">
        <f t="shared" ref="J23:O23" si="15">H23</f>
        <v>2699.91</v>
      </c>
      <c r="K23" s="4">
        <f t="shared" si="15"/>
        <v>0</v>
      </c>
      <c r="L23" s="4">
        <f t="shared" si="15"/>
        <v>2699.91</v>
      </c>
      <c r="M23" s="4">
        <f t="shared" si="15"/>
        <v>0</v>
      </c>
      <c r="N23" s="4">
        <f t="shared" si="15"/>
        <v>2699.91</v>
      </c>
      <c r="O23" s="4">
        <f t="shared" si="15"/>
        <v>0</v>
      </c>
      <c r="P23" s="4">
        <f>2724.91</f>
        <v>2724.91</v>
      </c>
      <c r="Q23" s="5"/>
      <c r="R23" s="4">
        <f t="shared" si="13"/>
        <v>2724.91</v>
      </c>
      <c r="S23" s="4">
        <f t="shared" si="13"/>
        <v>0</v>
      </c>
      <c r="T23" s="4">
        <f t="shared" si="13"/>
        <v>2724.91</v>
      </c>
      <c r="U23" s="4">
        <f t="shared" si="13"/>
        <v>0</v>
      </c>
      <c r="V23" s="4">
        <f t="shared" si="13"/>
        <v>2724.91</v>
      </c>
      <c r="W23" s="4">
        <f t="shared" si="13"/>
        <v>0</v>
      </c>
      <c r="X23" s="4">
        <f t="shared" si="6"/>
        <v>2724.91</v>
      </c>
      <c r="Y23" s="4">
        <f t="shared" si="7"/>
        <v>0</v>
      </c>
      <c r="Z23" s="5"/>
      <c r="AA23" s="5"/>
    </row>
    <row r="24" spans="1:27">
      <c r="A24" s="3" t="s">
        <v>35</v>
      </c>
      <c r="B24" s="5"/>
      <c r="C24" s="5"/>
      <c r="D24" s="4">
        <f t="shared" si="14"/>
        <v>0</v>
      </c>
      <c r="E24" s="4">
        <f t="shared" si="14"/>
        <v>0</v>
      </c>
      <c r="F24" s="4">
        <f>D24</f>
        <v>0</v>
      </c>
      <c r="G24" s="4">
        <f>E24</f>
        <v>0</v>
      </c>
      <c r="H24" s="4">
        <f>5.43</f>
        <v>5.43</v>
      </c>
      <c r="I24" s="5"/>
      <c r="J24" s="4">
        <f>H24</f>
        <v>5.43</v>
      </c>
      <c r="K24" s="4">
        <f>I24</f>
        <v>0</v>
      </c>
      <c r="L24" s="4">
        <f>J24</f>
        <v>5.43</v>
      </c>
      <c r="M24" s="4">
        <f>K24</f>
        <v>0</v>
      </c>
      <c r="N24" s="4">
        <f>10.92</f>
        <v>10.92</v>
      </c>
      <c r="O24" s="5"/>
      <c r="P24" s="4">
        <f>16.41</f>
        <v>16.41</v>
      </c>
      <c r="Q24" s="5"/>
      <c r="R24" s="4">
        <f>21.9</f>
        <v>21.9</v>
      </c>
      <c r="S24" s="5"/>
      <c r="T24" s="4">
        <f>R24</f>
        <v>21.9</v>
      </c>
      <c r="U24" s="4">
        <f>S24</f>
        <v>0</v>
      </c>
      <c r="V24" s="4">
        <f>T24</f>
        <v>21.9</v>
      </c>
      <c r="W24" s="4">
        <f>U24</f>
        <v>0</v>
      </c>
      <c r="X24" s="4">
        <f t="shared" si="6"/>
        <v>21.9</v>
      </c>
      <c r="Y24" s="4">
        <f t="shared" si="7"/>
        <v>0</v>
      </c>
      <c r="Z24" s="5"/>
      <c r="AA24" s="5"/>
    </row>
    <row r="25" spans="1:27">
      <c r="A25" s="3" t="s">
        <v>36</v>
      </c>
      <c r="B25" s="4">
        <f>95.46</f>
        <v>95.46</v>
      </c>
      <c r="C25" s="5"/>
      <c r="D25" s="4">
        <f>190.92</f>
        <v>190.92</v>
      </c>
      <c r="E25" s="5"/>
      <c r="F25" s="4">
        <f>268.88</f>
        <v>268.88</v>
      </c>
      <c r="G25" s="5"/>
      <c r="H25" s="4">
        <f>310.88</f>
        <v>310.88</v>
      </c>
      <c r="I25" s="5"/>
      <c r="J25" s="4">
        <f>352.88</f>
        <v>352.88</v>
      </c>
      <c r="K25" s="5"/>
      <c r="L25" s="4">
        <f>394.88</f>
        <v>394.88</v>
      </c>
      <c r="M25" s="5"/>
      <c r="N25" s="4">
        <f>436.88</f>
        <v>436.88</v>
      </c>
      <c r="O25" s="5"/>
      <c r="P25" s="4">
        <f>N25</f>
        <v>436.88</v>
      </c>
      <c r="Q25" s="4">
        <f>O25</f>
        <v>0</v>
      </c>
      <c r="R25" s="4">
        <f>478.88</f>
        <v>478.88</v>
      </c>
      <c r="S25" s="5"/>
      <c r="T25" s="4">
        <f>520.88</f>
        <v>520.88</v>
      </c>
      <c r="U25" s="5"/>
      <c r="V25" s="4">
        <f>562.88</f>
        <v>562.88</v>
      </c>
      <c r="W25" s="5"/>
      <c r="X25" s="4">
        <f t="shared" si="6"/>
        <v>562.88</v>
      </c>
      <c r="Y25" s="4">
        <f t="shared" si="7"/>
        <v>0</v>
      </c>
      <c r="Z25" s="5"/>
      <c r="AA25" s="5"/>
    </row>
    <row r="26" spans="1:27">
      <c r="A26" s="3" t="s">
        <v>37</v>
      </c>
      <c r="B26" s="4">
        <f>33.75</f>
        <v>33.75</v>
      </c>
      <c r="C26" s="5"/>
      <c r="D26" s="4">
        <f>54.83</f>
        <v>54.83</v>
      </c>
      <c r="E26" s="5"/>
      <c r="F26" s="4">
        <f>158.78</f>
        <v>158.78</v>
      </c>
      <c r="G26" s="5"/>
      <c r="H26" s="4">
        <f>207.58</f>
        <v>207.58</v>
      </c>
      <c r="I26" s="5"/>
      <c r="J26" s="4">
        <f>260.88</f>
        <v>260.88</v>
      </c>
      <c r="K26" s="5"/>
      <c r="L26" s="4">
        <f>314.18</f>
        <v>314.18</v>
      </c>
      <c r="M26" s="5"/>
      <c r="N26" s="4">
        <f>329.98</f>
        <v>329.98</v>
      </c>
      <c r="O26" s="5"/>
      <c r="P26" s="4">
        <f>383.53</f>
        <v>383.53</v>
      </c>
      <c r="Q26" s="5"/>
      <c r="R26" s="4">
        <f t="shared" ref="R26:W26" si="16">P26</f>
        <v>383.53</v>
      </c>
      <c r="S26" s="4">
        <f t="shared" si="16"/>
        <v>0</v>
      </c>
      <c r="T26" s="4">
        <f t="shared" si="16"/>
        <v>383.53</v>
      </c>
      <c r="U26" s="4">
        <f t="shared" si="16"/>
        <v>0</v>
      </c>
      <c r="V26" s="4">
        <f t="shared" si="16"/>
        <v>383.53</v>
      </c>
      <c r="W26" s="4">
        <f t="shared" si="16"/>
        <v>0</v>
      </c>
      <c r="X26" s="4">
        <f t="shared" si="6"/>
        <v>383.53</v>
      </c>
      <c r="Y26" s="4">
        <f t="shared" si="7"/>
        <v>0</v>
      </c>
      <c r="Z26" s="5"/>
      <c r="AA26" s="5"/>
    </row>
    <row r="27" spans="1:27">
      <c r="A27" s="3" t="s">
        <v>38</v>
      </c>
      <c r="B27" s="5"/>
      <c r="C27" s="5"/>
      <c r="D27" s="4">
        <f t="shared" ref="D27:I27" si="17">B27</f>
        <v>0</v>
      </c>
      <c r="E27" s="4">
        <f t="shared" si="17"/>
        <v>0</v>
      </c>
      <c r="F27" s="4">
        <f t="shared" si="17"/>
        <v>0</v>
      </c>
      <c r="G27" s="4">
        <f t="shared" si="17"/>
        <v>0</v>
      </c>
      <c r="H27" s="4">
        <f t="shared" si="17"/>
        <v>0</v>
      </c>
      <c r="I27" s="4">
        <f t="shared" si="17"/>
        <v>0</v>
      </c>
      <c r="J27" s="4">
        <f>152</f>
        <v>152</v>
      </c>
      <c r="K27" s="5"/>
      <c r="L27" s="4">
        <f t="shared" ref="L27:L42" si="18">J27</f>
        <v>152</v>
      </c>
      <c r="M27" s="4">
        <f t="shared" ref="M27:M42" si="19">K27</f>
        <v>0</v>
      </c>
      <c r="N27" s="4">
        <f>289</f>
        <v>289</v>
      </c>
      <c r="O27" s="5"/>
      <c r="P27" s="4">
        <f>365</f>
        <v>365</v>
      </c>
      <c r="Q27" s="5"/>
      <c r="R27" s="4">
        <f>394.78</f>
        <v>394.78</v>
      </c>
      <c r="S27" s="5"/>
      <c r="T27" s="4">
        <f>546.78</f>
        <v>546.78</v>
      </c>
      <c r="U27" s="5"/>
      <c r="V27" s="4">
        <f t="shared" ref="V27:W29" si="20">T27</f>
        <v>546.78</v>
      </c>
      <c r="W27" s="4">
        <f t="shared" si="20"/>
        <v>0</v>
      </c>
      <c r="X27" s="4">
        <f t="shared" si="6"/>
        <v>546.78</v>
      </c>
      <c r="Y27" s="4">
        <f t="shared" si="7"/>
        <v>0</v>
      </c>
      <c r="Z27" s="5"/>
      <c r="AA27" s="5"/>
    </row>
    <row r="28" spans="1:27">
      <c r="A28" s="3" t="s">
        <v>39</v>
      </c>
      <c r="B28" s="5"/>
      <c r="C28" s="5"/>
      <c r="D28" s="4">
        <f>1696</f>
        <v>1696</v>
      </c>
      <c r="E28" s="5"/>
      <c r="F28" s="4">
        <f>6396</f>
        <v>6396</v>
      </c>
      <c r="G28" s="5"/>
      <c r="H28" s="4">
        <f>6846</f>
        <v>6846</v>
      </c>
      <c r="I28" s="5"/>
      <c r="J28" s="4">
        <f t="shared" ref="J28:K32" si="21">H28</f>
        <v>6846</v>
      </c>
      <c r="K28" s="4">
        <f t="shared" si="21"/>
        <v>0</v>
      </c>
      <c r="L28" s="4">
        <f t="shared" si="18"/>
        <v>6846</v>
      </c>
      <c r="M28" s="4">
        <f t="shared" si="19"/>
        <v>0</v>
      </c>
      <c r="N28" s="4">
        <f>6996</f>
        <v>6996</v>
      </c>
      <c r="O28" s="5"/>
      <c r="P28" s="4">
        <f t="shared" ref="P28:Q30" si="22">N28</f>
        <v>6996</v>
      </c>
      <c r="Q28" s="4">
        <f t="shared" si="22"/>
        <v>0</v>
      </c>
      <c r="R28" s="4">
        <f>7249</f>
        <v>7249</v>
      </c>
      <c r="S28" s="5"/>
      <c r="T28" s="4">
        <f t="shared" ref="T28:U34" si="23">R28</f>
        <v>7249</v>
      </c>
      <c r="U28" s="4">
        <f t="shared" si="23"/>
        <v>0</v>
      </c>
      <c r="V28" s="4">
        <f t="shared" si="20"/>
        <v>7249</v>
      </c>
      <c r="W28" s="4">
        <f t="shared" si="20"/>
        <v>0</v>
      </c>
      <c r="X28" s="4">
        <f t="shared" si="6"/>
        <v>7249</v>
      </c>
      <c r="Y28" s="4">
        <f t="shared" si="7"/>
        <v>0</v>
      </c>
      <c r="Z28" s="5"/>
      <c r="AA28" s="5"/>
    </row>
    <row r="29" spans="1:27">
      <c r="A29" s="3" t="s">
        <v>40</v>
      </c>
      <c r="B29" s="5"/>
      <c r="C29" s="5"/>
      <c r="D29" s="4">
        <f t="shared" ref="D29:G31" si="24">B29</f>
        <v>0</v>
      </c>
      <c r="E29" s="4">
        <f t="shared" si="24"/>
        <v>0</v>
      </c>
      <c r="F29" s="4">
        <f t="shared" si="24"/>
        <v>0</v>
      </c>
      <c r="G29" s="4">
        <f t="shared" si="24"/>
        <v>0</v>
      </c>
      <c r="H29" s="4">
        <f>4685</f>
        <v>4685</v>
      </c>
      <c r="I29" s="5"/>
      <c r="J29" s="4">
        <f t="shared" si="21"/>
        <v>4685</v>
      </c>
      <c r="K29" s="4">
        <f t="shared" si="21"/>
        <v>0</v>
      </c>
      <c r="L29" s="4">
        <f t="shared" si="18"/>
        <v>4685</v>
      </c>
      <c r="M29" s="4">
        <f t="shared" si="19"/>
        <v>0</v>
      </c>
      <c r="N29" s="4">
        <f t="shared" ref="N29:O32" si="25">L29</f>
        <v>4685</v>
      </c>
      <c r="O29" s="4">
        <f t="shared" si="25"/>
        <v>0</v>
      </c>
      <c r="P29" s="4">
        <f t="shared" si="22"/>
        <v>4685</v>
      </c>
      <c r="Q29" s="4">
        <f t="shared" si="22"/>
        <v>0</v>
      </c>
      <c r="R29" s="4">
        <f>P29</f>
        <v>4685</v>
      </c>
      <c r="S29" s="4">
        <f>Q29</f>
        <v>0</v>
      </c>
      <c r="T29" s="4">
        <f t="shared" si="23"/>
        <v>4685</v>
      </c>
      <c r="U29" s="4">
        <f t="shared" si="23"/>
        <v>0</v>
      </c>
      <c r="V29" s="4">
        <f t="shared" si="20"/>
        <v>4685</v>
      </c>
      <c r="W29" s="4">
        <f t="shared" si="20"/>
        <v>0</v>
      </c>
      <c r="X29" s="4">
        <f t="shared" si="6"/>
        <v>4685</v>
      </c>
      <c r="Y29" s="4">
        <f t="shared" si="7"/>
        <v>0</v>
      </c>
      <c r="Z29" s="5"/>
      <c r="AA29" s="5"/>
    </row>
    <row r="30" spans="1:27">
      <c r="A30" s="3" t="s">
        <v>41</v>
      </c>
      <c r="B30" s="5"/>
      <c r="C30" s="5"/>
      <c r="D30" s="4">
        <f t="shared" si="24"/>
        <v>0</v>
      </c>
      <c r="E30" s="4">
        <f t="shared" si="24"/>
        <v>0</v>
      </c>
      <c r="F30" s="4">
        <f t="shared" si="24"/>
        <v>0</v>
      </c>
      <c r="G30" s="4">
        <f t="shared" si="24"/>
        <v>0</v>
      </c>
      <c r="H30" s="4">
        <f>96</f>
        <v>96</v>
      </c>
      <c r="I30" s="5"/>
      <c r="J30" s="4">
        <f t="shared" si="21"/>
        <v>96</v>
      </c>
      <c r="K30" s="4">
        <f t="shared" si="21"/>
        <v>0</v>
      </c>
      <c r="L30" s="4">
        <f t="shared" si="18"/>
        <v>96</v>
      </c>
      <c r="M30" s="4">
        <f t="shared" si="19"/>
        <v>0</v>
      </c>
      <c r="N30" s="4">
        <f t="shared" si="25"/>
        <v>96</v>
      </c>
      <c r="O30" s="4">
        <f t="shared" si="25"/>
        <v>0</v>
      </c>
      <c r="P30" s="4">
        <f t="shared" si="22"/>
        <v>96</v>
      </c>
      <c r="Q30" s="4">
        <f t="shared" si="22"/>
        <v>0</v>
      </c>
      <c r="R30" s="4">
        <f>3036</f>
        <v>3036</v>
      </c>
      <c r="S30" s="5"/>
      <c r="T30" s="4">
        <f t="shared" si="23"/>
        <v>3036</v>
      </c>
      <c r="U30" s="4">
        <f t="shared" si="23"/>
        <v>0</v>
      </c>
      <c r="V30" s="4">
        <f>8191.5</f>
        <v>8191.5</v>
      </c>
      <c r="W30" s="5"/>
      <c r="X30" s="4">
        <f t="shared" si="6"/>
        <v>8191.5</v>
      </c>
      <c r="Y30" s="4">
        <f t="shared" si="7"/>
        <v>0</v>
      </c>
      <c r="Z30" s="5"/>
      <c r="AA30" s="5"/>
    </row>
    <row r="31" spans="1:27">
      <c r="A31" s="3" t="s">
        <v>42</v>
      </c>
      <c r="B31" s="5"/>
      <c r="C31" s="5"/>
      <c r="D31" s="4">
        <f t="shared" si="24"/>
        <v>0</v>
      </c>
      <c r="E31" s="4">
        <f t="shared" si="24"/>
        <v>0</v>
      </c>
      <c r="F31" s="4">
        <f t="shared" si="24"/>
        <v>0</v>
      </c>
      <c r="G31" s="4">
        <f t="shared" si="24"/>
        <v>0</v>
      </c>
      <c r="H31" s="4">
        <f t="shared" ref="H31:H41" si="26">F31</f>
        <v>0</v>
      </c>
      <c r="I31" s="4">
        <f t="shared" ref="I31:I41" si="27">G31</f>
        <v>0</v>
      </c>
      <c r="J31" s="4">
        <f t="shared" si="21"/>
        <v>0</v>
      </c>
      <c r="K31" s="4">
        <f t="shared" si="21"/>
        <v>0</v>
      </c>
      <c r="L31" s="4">
        <f t="shared" si="18"/>
        <v>0</v>
      </c>
      <c r="M31" s="4">
        <f t="shared" si="19"/>
        <v>0</v>
      </c>
      <c r="N31" s="4">
        <f t="shared" si="25"/>
        <v>0</v>
      </c>
      <c r="O31" s="4">
        <f t="shared" si="25"/>
        <v>0</v>
      </c>
      <c r="P31" s="4">
        <f>5000</f>
        <v>5000</v>
      </c>
      <c r="Q31" s="5"/>
      <c r="R31" s="4">
        <f>P31</f>
        <v>5000</v>
      </c>
      <c r="S31" s="4">
        <f>Q31</f>
        <v>0</v>
      </c>
      <c r="T31" s="4">
        <f t="shared" si="23"/>
        <v>5000</v>
      </c>
      <c r="U31" s="4">
        <f t="shared" si="23"/>
        <v>0</v>
      </c>
      <c r="V31" s="4">
        <f>T31</f>
        <v>5000</v>
      </c>
      <c r="W31" s="4">
        <f>U31</f>
        <v>0</v>
      </c>
      <c r="X31" s="4">
        <f t="shared" si="6"/>
        <v>5000</v>
      </c>
      <c r="Y31" s="4">
        <f t="shared" si="7"/>
        <v>0</v>
      </c>
      <c r="Z31" s="5"/>
      <c r="AA31" s="5"/>
    </row>
    <row r="32" spans="1:27">
      <c r="A32" s="3" t="s">
        <v>43</v>
      </c>
      <c r="B32" s="5"/>
      <c r="C32" s="5"/>
      <c r="D32" s="4">
        <f>B32</f>
        <v>0</v>
      </c>
      <c r="E32" s="4">
        <f>C32</f>
        <v>0</v>
      </c>
      <c r="F32" s="4">
        <f>2100</f>
        <v>2100</v>
      </c>
      <c r="G32" s="5"/>
      <c r="H32" s="4">
        <f t="shared" si="26"/>
        <v>2100</v>
      </c>
      <c r="I32" s="4">
        <f t="shared" si="27"/>
        <v>0</v>
      </c>
      <c r="J32" s="4">
        <f t="shared" si="21"/>
        <v>2100</v>
      </c>
      <c r="K32" s="4">
        <f t="shared" si="21"/>
        <v>0</v>
      </c>
      <c r="L32" s="4">
        <f t="shared" si="18"/>
        <v>2100</v>
      </c>
      <c r="M32" s="4">
        <f t="shared" si="19"/>
        <v>0</v>
      </c>
      <c r="N32" s="4">
        <f t="shared" si="25"/>
        <v>2100</v>
      </c>
      <c r="O32" s="4">
        <f t="shared" si="25"/>
        <v>0</v>
      </c>
      <c r="P32" s="4">
        <f>N32</f>
        <v>2100</v>
      </c>
      <c r="Q32" s="4">
        <f>O32</f>
        <v>0</v>
      </c>
      <c r="R32" s="4">
        <f>P32</f>
        <v>2100</v>
      </c>
      <c r="S32" s="4">
        <f>Q32</f>
        <v>0</v>
      </c>
      <c r="T32" s="4">
        <f t="shared" si="23"/>
        <v>2100</v>
      </c>
      <c r="U32" s="4">
        <f t="shared" si="23"/>
        <v>0</v>
      </c>
      <c r="V32" s="4">
        <f>4051.8</f>
        <v>4051.8</v>
      </c>
      <c r="W32" s="5"/>
      <c r="X32" s="4">
        <f t="shared" si="6"/>
        <v>4051.8</v>
      </c>
      <c r="Y32" s="4">
        <f t="shared" si="7"/>
        <v>0</v>
      </c>
      <c r="Z32" s="5"/>
      <c r="AA32" s="5"/>
    </row>
    <row r="33" spans="1:27">
      <c r="A33" s="3" t="s">
        <v>44</v>
      </c>
      <c r="B33" s="4">
        <f>1326.13</f>
        <v>1326.13</v>
      </c>
      <c r="C33" s="5"/>
      <c r="D33" s="4">
        <f>B33</f>
        <v>1326.13</v>
      </c>
      <c r="E33" s="4">
        <f>C33</f>
        <v>0</v>
      </c>
      <c r="F33" s="4">
        <f>D33</f>
        <v>1326.13</v>
      </c>
      <c r="G33" s="4">
        <f>E33</f>
        <v>0</v>
      </c>
      <c r="H33" s="4">
        <f t="shared" si="26"/>
        <v>1326.13</v>
      </c>
      <c r="I33" s="4">
        <f t="shared" si="27"/>
        <v>0</v>
      </c>
      <c r="J33" s="4">
        <f>1918.93</f>
        <v>1918.93</v>
      </c>
      <c r="K33" s="5"/>
      <c r="L33" s="4">
        <f t="shared" si="18"/>
        <v>1918.93</v>
      </c>
      <c r="M33" s="4">
        <f t="shared" si="19"/>
        <v>0</v>
      </c>
      <c r="N33" s="4">
        <f>2168.53</f>
        <v>2168.5300000000002</v>
      </c>
      <c r="O33" s="5"/>
      <c r="P33" s="4">
        <f>5517.73</f>
        <v>5517.73</v>
      </c>
      <c r="Q33" s="5"/>
      <c r="R33" s="4">
        <f>5642.53</f>
        <v>5642.53</v>
      </c>
      <c r="S33" s="5"/>
      <c r="T33" s="4">
        <f t="shared" si="23"/>
        <v>5642.53</v>
      </c>
      <c r="U33" s="4">
        <f t="shared" si="23"/>
        <v>0</v>
      </c>
      <c r="V33" s="4">
        <f t="shared" ref="V33:W35" si="28">T33</f>
        <v>5642.53</v>
      </c>
      <c r="W33" s="4">
        <f t="shared" si="28"/>
        <v>0</v>
      </c>
      <c r="X33" s="4">
        <f t="shared" si="6"/>
        <v>5642.53</v>
      </c>
      <c r="Y33" s="4">
        <f t="shared" si="7"/>
        <v>0</v>
      </c>
      <c r="Z33" s="5"/>
      <c r="AA33" s="5"/>
    </row>
    <row r="34" spans="1:27">
      <c r="A34" s="3" t="s">
        <v>45</v>
      </c>
      <c r="B34" s="4">
        <f>129.64</f>
        <v>129.63999999999999</v>
      </c>
      <c r="C34" s="5"/>
      <c r="D34" s="4">
        <f>283.33</f>
        <v>283.33</v>
      </c>
      <c r="E34" s="5"/>
      <c r="F34" s="4">
        <f>437.02</f>
        <v>437.02</v>
      </c>
      <c r="G34" s="5"/>
      <c r="H34" s="4">
        <f t="shared" si="26"/>
        <v>437.02</v>
      </c>
      <c r="I34" s="4">
        <f t="shared" si="27"/>
        <v>0</v>
      </c>
      <c r="J34" s="4">
        <f t="shared" ref="J34:K37" si="29">H34</f>
        <v>437.02</v>
      </c>
      <c r="K34" s="4">
        <f t="shared" si="29"/>
        <v>0</v>
      </c>
      <c r="L34" s="4">
        <f t="shared" si="18"/>
        <v>437.02</v>
      </c>
      <c r="M34" s="4">
        <f t="shared" si="19"/>
        <v>0</v>
      </c>
      <c r="N34" s="4">
        <f>598.65</f>
        <v>598.65</v>
      </c>
      <c r="O34" s="5"/>
      <c r="P34" s="4">
        <f t="shared" ref="P34:S37" si="30">N34</f>
        <v>598.65</v>
      </c>
      <c r="Q34" s="4">
        <f t="shared" si="30"/>
        <v>0</v>
      </c>
      <c r="R34" s="4">
        <f t="shared" si="30"/>
        <v>598.65</v>
      </c>
      <c r="S34" s="4">
        <f t="shared" si="30"/>
        <v>0</v>
      </c>
      <c r="T34" s="4">
        <f t="shared" si="23"/>
        <v>598.65</v>
      </c>
      <c r="U34" s="4">
        <f t="shared" si="23"/>
        <v>0</v>
      </c>
      <c r="V34" s="4">
        <f t="shared" si="28"/>
        <v>598.65</v>
      </c>
      <c r="W34" s="4">
        <f t="shared" si="28"/>
        <v>0</v>
      </c>
      <c r="X34" s="4">
        <f t="shared" si="6"/>
        <v>598.65</v>
      </c>
      <c r="Y34" s="4">
        <f t="shared" si="7"/>
        <v>0</v>
      </c>
      <c r="Z34" s="5"/>
      <c r="AA34" s="5"/>
    </row>
    <row r="35" spans="1:27">
      <c r="A35" s="3" t="s">
        <v>46</v>
      </c>
      <c r="B35" s="5"/>
      <c r="C35" s="5"/>
      <c r="D35" s="4">
        <f>B35</f>
        <v>0</v>
      </c>
      <c r="E35" s="4">
        <f>C35</f>
        <v>0</v>
      </c>
      <c r="F35" s="4">
        <f>D35</f>
        <v>0</v>
      </c>
      <c r="G35" s="4">
        <f>E35</f>
        <v>0</v>
      </c>
      <c r="H35" s="4">
        <f t="shared" si="26"/>
        <v>0</v>
      </c>
      <c r="I35" s="4">
        <f t="shared" si="27"/>
        <v>0</v>
      </c>
      <c r="J35" s="4">
        <f t="shared" si="29"/>
        <v>0</v>
      </c>
      <c r="K35" s="4">
        <f t="shared" si="29"/>
        <v>0</v>
      </c>
      <c r="L35" s="4">
        <f t="shared" si="18"/>
        <v>0</v>
      </c>
      <c r="M35" s="4">
        <f t="shared" si="19"/>
        <v>0</v>
      </c>
      <c r="N35" s="4">
        <f t="shared" ref="N35:O41" si="31">L35</f>
        <v>0</v>
      </c>
      <c r="O35" s="4">
        <f t="shared" si="31"/>
        <v>0</v>
      </c>
      <c r="P35" s="4">
        <f t="shared" si="30"/>
        <v>0</v>
      </c>
      <c r="Q35" s="4">
        <f t="shared" si="30"/>
        <v>0</v>
      </c>
      <c r="R35" s="4">
        <f t="shared" si="30"/>
        <v>0</v>
      </c>
      <c r="S35" s="4">
        <f t="shared" si="30"/>
        <v>0</v>
      </c>
      <c r="T35" s="4">
        <f>100</f>
        <v>100</v>
      </c>
      <c r="U35" s="5"/>
      <c r="V35" s="4">
        <f t="shared" si="28"/>
        <v>100</v>
      </c>
      <c r="W35" s="4">
        <f t="shared" si="28"/>
        <v>0</v>
      </c>
      <c r="X35" s="4">
        <f t="shared" si="6"/>
        <v>100</v>
      </c>
      <c r="Y35" s="4">
        <f t="shared" si="7"/>
        <v>0</v>
      </c>
      <c r="Z35" s="5"/>
      <c r="AA35" s="5"/>
    </row>
    <row r="36" spans="1:27">
      <c r="A36" s="3" t="s">
        <v>47</v>
      </c>
      <c r="B36" s="5"/>
      <c r="C36" s="5"/>
      <c r="D36" s="4">
        <f>166.91</f>
        <v>166.91</v>
      </c>
      <c r="E36" s="5"/>
      <c r="F36" s="4">
        <f>D36</f>
        <v>166.91</v>
      </c>
      <c r="G36" s="4">
        <f>E36</f>
        <v>0</v>
      </c>
      <c r="H36" s="4">
        <f t="shared" si="26"/>
        <v>166.91</v>
      </c>
      <c r="I36" s="4">
        <f t="shared" si="27"/>
        <v>0</v>
      </c>
      <c r="J36" s="4">
        <f t="shared" si="29"/>
        <v>166.91</v>
      </c>
      <c r="K36" s="4">
        <f t="shared" si="29"/>
        <v>0</v>
      </c>
      <c r="L36" s="4">
        <f t="shared" si="18"/>
        <v>166.91</v>
      </c>
      <c r="M36" s="4">
        <f t="shared" si="19"/>
        <v>0</v>
      </c>
      <c r="N36" s="4">
        <f t="shared" si="31"/>
        <v>166.91</v>
      </c>
      <c r="O36" s="4">
        <f t="shared" si="31"/>
        <v>0</v>
      </c>
      <c r="P36" s="4">
        <f t="shared" si="30"/>
        <v>166.91</v>
      </c>
      <c r="Q36" s="4">
        <f t="shared" si="30"/>
        <v>0</v>
      </c>
      <c r="R36" s="4">
        <f t="shared" si="30"/>
        <v>166.91</v>
      </c>
      <c r="S36" s="4">
        <f t="shared" si="30"/>
        <v>0</v>
      </c>
      <c r="T36" s="4">
        <f t="shared" ref="T36:U42" si="32">R36</f>
        <v>166.91</v>
      </c>
      <c r="U36" s="4">
        <f t="shared" si="32"/>
        <v>0</v>
      </c>
      <c r="V36" s="4">
        <f>1105.6</f>
        <v>1105.5999999999999</v>
      </c>
      <c r="W36" s="5"/>
      <c r="X36" s="4">
        <f t="shared" si="6"/>
        <v>1105.5999999999999</v>
      </c>
      <c r="Y36" s="4">
        <f t="shared" si="7"/>
        <v>0</v>
      </c>
      <c r="Z36" s="5"/>
      <c r="AA36" s="5"/>
    </row>
    <row r="37" spans="1:27">
      <c r="A37" s="3" t="s">
        <v>48</v>
      </c>
      <c r="B37" s="5"/>
      <c r="C37" s="5"/>
      <c r="D37" s="4">
        <f t="shared" ref="D37:E39" si="33">B37</f>
        <v>0</v>
      </c>
      <c r="E37" s="4">
        <f t="shared" si="33"/>
        <v>0</v>
      </c>
      <c r="F37" s="4">
        <f>582.75</f>
        <v>582.75</v>
      </c>
      <c r="G37" s="5"/>
      <c r="H37" s="4">
        <f t="shared" si="26"/>
        <v>582.75</v>
      </c>
      <c r="I37" s="4">
        <f t="shared" si="27"/>
        <v>0</v>
      </c>
      <c r="J37" s="4">
        <f t="shared" si="29"/>
        <v>582.75</v>
      </c>
      <c r="K37" s="4">
        <f t="shared" si="29"/>
        <v>0</v>
      </c>
      <c r="L37" s="4">
        <f t="shared" si="18"/>
        <v>582.75</v>
      </c>
      <c r="M37" s="4">
        <f t="shared" si="19"/>
        <v>0</v>
      </c>
      <c r="N37" s="4">
        <f t="shared" si="31"/>
        <v>582.75</v>
      </c>
      <c r="O37" s="4">
        <f t="shared" si="31"/>
        <v>0</v>
      </c>
      <c r="P37" s="4">
        <f t="shared" si="30"/>
        <v>582.75</v>
      </c>
      <c r="Q37" s="4">
        <f t="shared" si="30"/>
        <v>0</v>
      </c>
      <c r="R37" s="4">
        <f t="shared" si="30"/>
        <v>582.75</v>
      </c>
      <c r="S37" s="4">
        <f t="shared" si="30"/>
        <v>0</v>
      </c>
      <c r="T37" s="4">
        <f t="shared" si="32"/>
        <v>582.75</v>
      </c>
      <c r="U37" s="4">
        <f t="shared" si="32"/>
        <v>0</v>
      </c>
      <c r="V37" s="4">
        <f t="shared" ref="V37:W42" si="34">T37</f>
        <v>582.75</v>
      </c>
      <c r="W37" s="4">
        <f t="shared" si="34"/>
        <v>0</v>
      </c>
      <c r="X37" s="4">
        <f t="shared" si="6"/>
        <v>582.75</v>
      </c>
      <c r="Y37" s="4">
        <f t="shared" si="7"/>
        <v>0</v>
      </c>
      <c r="Z37" s="5"/>
      <c r="AA37" s="5"/>
    </row>
    <row r="38" spans="1:27">
      <c r="A38" s="3" t="s">
        <v>49</v>
      </c>
      <c r="B38" s="5"/>
      <c r="C38" s="5"/>
      <c r="D38" s="4">
        <f t="shared" si="33"/>
        <v>0</v>
      </c>
      <c r="E38" s="4">
        <f t="shared" si="33"/>
        <v>0</v>
      </c>
      <c r="F38" s="4">
        <f>D38</f>
        <v>0</v>
      </c>
      <c r="G38" s="4">
        <f>E38</f>
        <v>0</v>
      </c>
      <c r="H38" s="4">
        <f t="shared" si="26"/>
        <v>0</v>
      </c>
      <c r="I38" s="4">
        <f t="shared" si="27"/>
        <v>0</v>
      </c>
      <c r="J38" s="4">
        <f>36</f>
        <v>36</v>
      </c>
      <c r="K38" s="5"/>
      <c r="L38" s="4">
        <f t="shared" si="18"/>
        <v>36</v>
      </c>
      <c r="M38" s="4">
        <f t="shared" si="19"/>
        <v>0</v>
      </c>
      <c r="N38" s="4">
        <f t="shared" si="31"/>
        <v>36</v>
      </c>
      <c r="O38" s="4">
        <f t="shared" si="31"/>
        <v>0</v>
      </c>
      <c r="P38" s="4">
        <f>227.5</f>
        <v>227.5</v>
      </c>
      <c r="Q38" s="5"/>
      <c r="R38" s="4">
        <f t="shared" ref="R38:S42" si="35">P38</f>
        <v>227.5</v>
      </c>
      <c r="S38" s="4">
        <f t="shared" si="35"/>
        <v>0</v>
      </c>
      <c r="T38" s="4">
        <f t="shared" si="32"/>
        <v>227.5</v>
      </c>
      <c r="U38" s="4">
        <f t="shared" si="32"/>
        <v>0</v>
      </c>
      <c r="V38" s="4">
        <f t="shared" si="34"/>
        <v>227.5</v>
      </c>
      <c r="W38" s="4">
        <f t="shared" si="34"/>
        <v>0</v>
      </c>
      <c r="X38" s="4">
        <f t="shared" si="6"/>
        <v>227.5</v>
      </c>
      <c r="Y38" s="4">
        <f t="shared" si="7"/>
        <v>0</v>
      </c>
      <c r="Z38" s="5"/>
      <c r="AA38" s="5"/>
    </row>
    <row r="39" spans="1:27">
      <c r="A39" s="3" t="s">
        <v>50</v>
      </c>
      <c r="B39" s="5"/>
      <c r="C39" s="5"/>
      <c r="D39" s="4">
        <f t="shared" si="33"/>
        <v>0</v>
      </c>
      <c r="E39" s="4">
        <f t="shared" si="33"/>
        <v>0</v>
      </c>
      <c r="F39" s="4">
        <f>950</f>
        <v>950</v>
      </c>
      <c r="G39" s="5"/>
      <c r="H39" s="4">
        <f t="shared" si="26"/>
        <v>950</v>
      </c>
      <c r="I39" s="4">
        <f t="shared" si="27"/>
        <v>0</v>
      </c>
      <c r="J39" s="4">
        <f>H39</f>
        <v>950</v>
      </c>
      <c r="K39" s="4">
        <f>I39</f>
        <v>0</v>
      </c>
      <c r="L39" s="4">
        <f t="shared" si="18"/>
        <v>950</v>
      </c>
      <c r="M39" s="4">
        <f t="shared" si="19"/>
        <v>0</v>
      </c>
      <c r="N39" s="4">
        <f t="shared" si="31"/>
        <v>950</v>
      </c>
      <c r="O39" s="4">
        <f t="shared" si="31"/>
        <v>0</v>
      </c>
      <c r="P39" s="4">
        <f>N39</f>
        <v>950</v>
      </c>
      <c r="Q39" s="4">
        <f>O39</f>
        <v>0</v>
      </c>
      <c r="R39" s="4">
        <f t="shared" si="35"/>
        <v>950</v>
      </c>
      <c r="S39" s="4">
        <f t="shared" si="35"/>
        <v>0</v>
      </c>
      <c r="T39" s="4">
        <f t="shared" si="32"/>
        <v>950</v>
      </c>
      <c r="U39" s="4">
        <f t="shared" si="32"/>
        <v>0</v>
      </c>
      <c r="V39" s="4">
        <f t="shared" si="34"/>
        <v>950</v>
      </c>
      <c r="W39" s="4">
        <f t="shared" si="34"/>
        <v>0</v>
      </c>
      <c r="X39" s="4">
        <f t="shared" si="6"/>
        <v>950</v>
      </c>
      <c r="Y39" s="4">
        <f t="shared" si="7"/>
        <v>0</v>
      </c>
      <c r="Z39" s="5"/>
      <c r="AA39" s="5"/>
    </row>
    <row r="40" spans="1:27">
      <c r="A40" s="3" t="s">
        <v>51</v>
      </c>
      <c r="B40" s="5"/>
      <c r="C40" s="5"/>
      <c r="D40" s="4">
        <f>998</f>
        <v>998</v>
      </c>
      <c r="E40" s="5"/>
      <c r="F40" s="4">
        <f>18234</f>
        <v>18234</v>
      </c>
      <c r="G40" s="5"/>
      <c r="H40" s="4">
        <f t="shared" si="26"/>
        <v>18234</v>
      </c>
      <c r="I40" s="4">
        <f t="shared" si="27"/>
        <v>0</v>
      </c>
      <c r="J40" s="4">
        <f>H40</f>
        <v>18234</v>
      </c>
      <c r="K40" s="4">
        <f>I40</f>
        <v>0</v>
      </c>
      <c r="L40" s="4">
        <f t="shared" si="18"/>
        <v>18234</v>
      </c>
      <c r="M40" s="4">
        <f t="shared" si="19"/>
        <v>0</v>
      </c>
      <c r="N40" s="4">
        <f t="shared" si="31"/>
        <v>18234</v>
      </c>
      <c r="O40" s="4">
        <f t="shared" si="31"/>
        <v>0</v>
      </c>
      <c r="P40" s="4">
        <f>N40</f>
        <v>18234</v>
      </c>
      <c r="Q40" s="4">
        <f>O40</f>
        <v>0</v>
      </c>
      <c r="R40" s="4">
        <f t="shared" si="35"/>
        <v>18234</v>
      </c>
      <c r="S40" s="4">
        <f t="shared" si="35"/>
        <v>0</v>
      </c>
      <c r="T40" s="4">
        <f t="shared" si="32"/>
        <v>18234</v>
      </c>
      <c r="U40" s="4">
        <f t="shared" si="32"/>
        <v>0</v>
      </c>
      <c r="V40" s="4">
        <f t="shared" si="34"/>
        <v>18234</v>
      </c>
      <c r="W40" s="4">
        <f t="shared" si="34"/>
        <v>0</v>
      </c>
      <c r="X40" s="4">
        <f t="shared" si="6"/>
        <v>18234</v>
      </c>
      <c r="Y40" s="4">
        <f t="shared" si="7"/>
        <v>0</v>
      </c>
      <c r="Z40" s="5"/>
      <c r="AA40" s="5"/>
    </row>
    <row r="41" spans="1:27">
      <c r="A41" s="3" t="s">
        <v>52</v>
      </c>
      <c r="B41" s="5"/>
      <c r="C41" s="5"/>
      <c r="D41" s="4">
        <f>B41</f>
        <v>0</v>
      </c>
      <c r="E41" s="4">
        <f>C41</f>
        <v>0</v>
      </c>
      <c r="F41" s="4">
        <f>D41</f>
        <v>0</v>
      </c>
      <c r="G41" s="4">
        <f>E41</f>
        <v>0</v>
      </c>
      <c r="H41" s="4">
        <f t="shared" si="26"/>
        <v>0</v>
      </c>
      <c r="I41" s="4">
        <f t="shared" si="27"/>
        <v>0</v>
      </c>
      <c r="J41" s="4">
        <f>29</f>
        <v>29</v>
      </c>
      <c r="K41" s="5"/>
      <c r="L41" s="4">
        <f t="shared" si="18"/>
        <v>29</v>
      </c>
      <c r="M41" s="4">
        <f t="shared" si="19"/>
        <v>0</v>
      </c>
      <c r="N41" s="4">
        <f t="shared" si="31"/>
        <v>29</v>
      </c>
      <c r="O41" s="4">
        <f t="shared" si="31"/>
        <v>0</v>
      </c>
      <c r="P41" s="4">
        <f>58</f>
        <v>58</v>
      </c>
      <c r="Q41" s="5"/>
      <c r="R41" s="4">
        <f t="shared" si="35"/>
        <v>58</v>
      </c>
      <c r="S41" s="4">
        <f t="shared" si="35"/>
        <v>0</v>
      </c>
      <c r="T41" s="4">
        <f t="shared" si="32"/>
        <v>58</v>
      </c>
      <c r="U41" s="4">
        <f t="shared" si="32"/>
        <v>0</v>
      </c>
      <c r="V41" s="4">
        <f t="shared" si="34"/>
        <v>58</v>
      </c>
      <c r="W41" s="4">
        <f t="shared" si="34"/>
        <v>0</v>
      </c>
      <c r="X41" s="4">
        <f t="shared" si="6"/>
        <v>58</v>
      </c>
      <c r="Y41" s="4">
        <f t="shared" si="7"/>
        <v>0</v>
      </c>
      <c r="Z41" s="5"/>
      <c r="AA41" s="5"/>
    </row>
    <row r="42" spans="1:27">
      <c r="A42" s="3" t="s">
        <v>53</v>
      </c>
      <c r="B42" s="4">
        <f>839</f>
        <v>839</v>
      </c>
      <c r="C42" s="5"/>
      <c r="D42" s="4">
        <f>B42</f>
        <v>839</v>
      </c>
      <c r="E42" s="4">
        <f>C42</f>
        <v>0</v>
      </c>
      <c r="F42" s="4">
        <f>1678</f>
        <v>1678</v>
      </c>
      <c r="G42" s="5"/>
      <c r="H42" s="4">
        <f>2517</f>
        <v>2517</v>
      </c>
      <c r="I42" s="5"/>
      <c r="J42" s="4">
        <f>3356</f>
        <v>3356</v>
      </c>
      <c r="K42" s="5"/>
      <c r="L42" s="4">
        <f t="shared" si="18"/>
        <v>3356</v>
      </c>
      <c r="M42" s="4">
        <f t="shared" si="19"/>
        <v>0</v>
      </c>
      <c r="N42" s="4">
        <f>4800.5</f>
        <v>4800.5</v>
      </c>
      <c r="O42" s="5"/>
      <c r="P42" s="4">
        <f>6478.5</f>
        <v>6478.5</v>
      </c>
      <c r="Q42" s="5"/>
      <c r="R42" s="4">
        <f t="shared" si="35"/>
        <v>6478.5</v>
      </c>
      <c r="S42" s="4">
        <f t="shared" si="35"/>
        <v>0</v>
      </c>
      <c r="T42" s="4">
        <f t="shared" si="32"/>
        <v>6478.5</v>
      </c>
      <c r="U42" s="4">
        <f t="shared" si="32"/>
        <v>0</v>
      </c>
      <c r="V42" s="4">
        <f t="shared" si="34"/>
        <v>6478.5</v>
      </c>
      <c r="W42" s="4">
        <f t="shared" si="34"/>
        <v>0</v>
      </c>
      <c r="X42" s="4">
        <f t="shared" si="6"/>
        <v>6478.5</v>
      </c>
      <c r="Y42" s="4">
        <f t="shared" si="7"/>
        <v>0</v>
      </c>
      <c r="Z42" s="5"/>
      <c r="AA42" s="5"/>
    </row>
    <row r="43" spans="1:27">
      <c r="A43" s="3" t="s">
        <v>54</v>
      </c>
      <c r="B43" s="5"/>
      <c r="C43" s="5"/>
      <c r="D43" s="4">
        <f>2563.36</f>
        <v>2563.36</v>
      </c>
      <c r="E43" s="5"/>
      <c r="F43" s="4">
        <f>3496.71</f>
        <v>3496.71</v>
      </c>
      <c r="G43" s="5"/>
      <c r="H43" s="4">
        <f>4490.08</f>
        <v>4490.08</v>
      </c>
      <c r="I43" s="5"/>
      <c r="J43" s="4">
        <f>5692.58</f>
        <v>5692.58</v>
      </c>
      <c r="K43" s="5"/>
      <c r="L43" s="4">
        <f>6966.33</f>
        <v>6966.33</v>
      </c>
      <c r="M43" s="5"/>
      <c r="N43" s="4">
        <f>8972.83</f>
        <v>8972.83</v>
      </c>
      <c r="O43" s="5"/>
      <c r="P43" s="4">
        <f>11652.68</f>
        <v>11652.68</v>
      </c>
      <c r="Q43" s="5"/>
      <c r="R43" s="4">
        <f>14513.68</f>
        <v>14513.68</v>
      </c>
      <c r="S43" s="5"/>
      <c r="T43" s="4">
        <f>18437.18</f>
        <v>18437.18</v>
      </c>
      <c r="U43" s="5"/>
      <c r="V43" s="4">
        <f>25944.79</f>
        <v>25944.79</v>
      </c>
      <c r="W43" s="5"/>
      <c r="X43" s="4">
        <f t="shared" si="6"/>
        <v>25944.79</v>
      </c>
      <c r="Y43" s="4">
        <f t="shared" si="7"/>
        <v>0</v>
      </c>
      <c r="Z43" s="5"/>
      <c r="AA43" s="5"/>
    </row>
    <row r="44" spans="1:27">
      <c r="A44" s="3" t="s">
        <v>55</v>
      </c>
      <c r="B44" s="5"/>
      <c r="C44" s="5"/>
      <c r="D44" s="4">
        <f t="shared" ref="D44:G45" si="36">B44</f>
        <v>0</v>
      </c>
      <c r="E44" s="4">
        <f t="shared" si="36"/>
        <v>0</v>
      </c>
      <c r="F44" s="4">
        <f t="shared" si="36"/>
        <v>0</v>
      </c>
      <c r="G44" s="4">
        <f t="shared" si="36"/>
        <v>0</v>
      </c>
      <c r="H44" s="5"/>
      <c r="I44" s="4">
        <f>1079.96</f>
        <v>1079.96</v>
      </c>
      <c r="J44" s="4">
        <f t="shared" ref="J44:W44" si="37">H44</f>
        <v>0</v>
      </c>
      <c r="K44" s="4">
        <f t="shared" si="37"/>
        <v>1079.96</v>
      </c>
      <c r="L44" s="4">
        <f t="shared" si="37"/>
        <v>0</v>
      </c>
      <c r="M44" s="4">
        <f t="shared" si="37"/>
        <v>1079.96</v>
      </c>
      <c r="N44" s="4">
        <f t="shared" si="37"/>
        <v>0</v>
      </c>
      <c r="O44" s="4">
        <f t="shared" si="37"/>
        <v>1079.96</v>
      </c>
      <c r="P44" s="4">
        <f t="shared" si="37"/>
        <v>0</v>
      </c>
      <c r="Q44" s="4">
        <f t="shared" si="37"/>
        <v>1079.96</v>
      </c>
      <c r="R44" s="4">
        <f t="shared" si="37"/>
        <v>0</v>
      </c>
      <c r="S44" s="4">
        <f t="shared" si="37"/>
        <v>1079.96</v>
      </c>
      <c r="T44" s="4">
        <f t="shared" si="37"/>
        <v>0</v>
      </c>
      <c r="U44" s="4">
        <f t="shared" si="37"/>
        <v>1079.96</v>
      </c>
      <c r="V44" s="4">
        <f t="shared" si="37"/>
        <v>0</v>
      </c>
      <c r="W44" s="4">
        <f t="shared" si="37"/>
        <v>1079.96</v>
      </c>
      <c r="X44" s="4">
        <f t="shared" si="6"/>
        <v>0</v>
      </c>
      <c r="Y44" s="4">
        <f t="shared" si="7"/>
        <v>1079.96</v>
      </c>
      <c r="Z44" s="5"/>
      <c r="AA44" s="5"/>
    </row>
    <row r="45" spans="1:27">
      <c r="A45" s="3" t="s">
        <v>56</v>
      </c>
      <c r="B45" s="4">
        <f>166.39</f>
        <v>166.39</v>
      </c>
      <c r="C45" s="5"/>
      <c r="D45" s="4">
        <f t="shared" si="36"/>
        <v>166.39</v>
      </c>
      <c r="E45" s="4">
        <f t="shared" si="36"/>
        <v>0</v>
      </c>
      <c r="F45" s="4">
        <f t="shared" si="36"/>
        <v>166.39</v>
      </c>
      <c r="G45" s="4">
        <f t="shared" si="36"/>
        <v>0</v>
      </c>
      <c r="H45" s="4">
        <f t="shared" ref="H45:M45" si="38">F45</f>
        <v>166.39</v>
      </c>
      <c r="I45" s="4">
        <f t="shared" si="38"/>
        <v>0</v>
      </c>
      <c r="J45" s="4">
        <f t="shared" si="38"/>
        <v>166.39</v>
      </c>
      <c r="K45" s="4">
        <f t="shared" si="38"/>
        <v>0</v>
      </c>
      <c r="L45" s="4">
        <f t="shared" si="38"/>
        <v>166.39</v>
      </c>
      <c r="M45" s="4">
        <f t="shared" si="38"/>
        <v>0</v>
      </c>
      <c r="N45" s="4">
        <f>4583.41</f>
        <v>4583.41</v>
      </c>
      <c r="O45" s="5"/>
      <c r="P45" s="4">
        <f>N45</f>
        <v>4583.41</v>
      </c>
      <c r="Q45" s="4">
        <f>O45</f>
        <v>0</v>
      </c>
      <c r="R45" s="4">
        <f>9446.16</f>
        <v>9446.16</v>
      </c>
      <c r="S45" s="5"/>
      <c r="T45" s="4">
        <f>R45</f>
        <v>9446.16</v>
      </c>
      <c r="U45" s="4">
        <f>S45</f>
        <v>0</v>
      </c>
      <c r="V45" s="4">
        <f>T45</f>
        <v>9446.16</v>
      </c>
      <c r="W45" s="4">
        <f>U45</f>
        <v>0</v>
      </c>
      <c r="X45" s="4">
        <f t="shared" si="6"/>
        <v>9446.16</v>
      </c>
      <c r="Y45" s="4">
        <f t="shared" si="7"/>
        <v>0</v>
      </c>
      <c r="Z45" s="5"/>
      <c r="AA45" s="5"/>
    </row>
    <row r="46" spans="1:27">
      <c r="A46" s="3" t="s">
        <v>57</v>
      </c>
      <c r="B46" s="6">
        <f t="shared" ref="B46:AA46" si="39">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</f>
        <v>388347.09000000008</v>
      </c>
      <c r="C46" s="6">
        <f t="shared" si="39"/>
        <v>388347.08999999997</v>
      </c>
      <c r="D46" s="6">
        <f t="shared" si="39"/>
        <v>395033.24</v>
      </c>
      <c r="E46" s="6">
        <f t="shared" si="39"/>
        <v>395033.24</v>
      </c>
      <c r="F46" s="6">
        <f t="shared" si="39"/>
        <v>403630.02000000008</v>
      </c>
      <c r="G46" s="6">
        <f t="shared" si="39"/>
        <v>403630.02</v>
      </c>
      <c r="H46" s="6">
        <f t="shared" si="39"/>
        <v>400488.25999999995</v>
      </c>
      <c r="I46" s="6">
        <f t="shared" si="39"/>
        <v>400488.26000000007</v>
      </c>
      <c r="J46" s="6">
        <f t="shared" si="39"/>
        <v>400037.47</v>
      </c>
      <c r="K46" s="6">
        <f t="shared" si="39"/>
        <v>400037.47000000003</v>
      </c>
      <c r="L46" s="6">
        <f t="shared" si="39"/>
        <v>400201.07999999996</v>
      </c>
      <c r="M46" s="6">
        <f t="shared" si="39"/>
        <v>400201.08</v>
      </c>
      <c r="N46" s="6">
        <f t="shared" si="39"/>
        <v>402843.74</v>
      </c>
      <c r="O46" s="6">
        <f t="shared" si="39"/>
        <v>402843.74000000005</v>
      </c>
      <c r="P46" s="6">
        <f t="shared" si="39"/>
        <v>405328.43999999994</v>
      </c>
      <c r="Q46" s="6">
        <f t="shared" si="39"/>
        <v>405328.44</v>
      </c>
      <c r="R46" s="6">
        <f t="shared" si="39"/>
        <v>405282.83000000013</v>
      </c>
      <c r="S46" s="6">
        <f t="shared" si="39"/>
        <v>405282.83</v>
      </c>
      <c r="T46" s="6">
        <f t="shared" si="39"/>
        <v>415011.75000000006</v>
      </c>
      <c r="U46" s="6">
        <f t="shared" si="39"/>
        <v>415011.75000000006</v>
      </c>
      <c r="V46" s="6">
        <f t="shared" si="39"/>
        <v>415325.46</v>
      </c>
      <c r="W46" s="6">
        <f t="shared" si="39"/>
        <v>415325.46</v>
      </c>
      <c r="X46" s="6">
        <f t="shared" si="39"/>
        <v>415336.62</v>
      </c>
      <c r="Y46" s="6">
        <f t="shared" si="39"/>
        <v>415336.62000000005</v>
      </c>
      <c r="Z46" s="6">
        <f t="shared" si="39"/>
        <v>247984.43</v>
      </c>
      <c r="AA46" s="6">
        <f t="shared" si="39"/>
        <v>247984.43</v>
      </c>
    </row>
    <row r="47" spans="1:27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50" spans="1:27">
      <c r="A50" s="9" t="s">
        <v>58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</sheetData>
  <mergeCells count="17">
    <mergeCell ref="J5:K5"/>
    <mergeCell ref="V5:W5"/>
    <mergeCell ref="X5:Y5"/>
    <mergeCell ref="Z5:AA5"/>
    <mergeCell ref="A50:AA50"/>
    <mergeCell ref="A1:AA1"/>
    <mergeCell ref="A2:AA2"/>
    <mergeCell ref="A3:AA3"/>
    <mergeCell ref="L5:M5"/>
    <mergeCell ref="N5:O5"/>
    <mergeCell ref="P5:Q5"/>
    <mergeCell ref="R5:S5"/>
    <mergeCell ref="T5:U5"/>
    <mergeCell ref="B5:C5"/>
    <mergeCell ref="D5:E5"/>
    <mergeCell ref="F5:G5"/>
    <mergeCell ref="H5:I5"/>
  </mergeCells>
  <pageMargins left="0.7" right="0.7" top="0.75" bottom="0.75" header="0.3" footer="0.3"/>
  <pageSetup paperSize="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 V</cp:lastModifiedBy>
  <cp:revision/>
  <dcterms:created xsi:type="dcterms:W3CDTF">2023-01-05T21:50:05Z</dcterms:created>
  <dcterms:modified xsi:type="dcterms:W3CDTF">2023-02-21T18:43:03Z</dcterms:modified>
  <cp:category/>
  <cp:contentStatus/>
</cp:coreProperties>
</file>