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cim365-my.sharepoint.com/personal/bklein_cciminstitute_com/Documents/CCIM Business Forms Project 2022-23/Feasibility Analysis forms/102 Feas Analysis/"/>
    </mc:Choice>
  </mc:AlternateContent>
  <xr:revisionPtr revIDLastSave="5" documentId="8_{B17A7662-3DC4-5344-9E4B-771B4A44D327}" xr6:coauthVersionLast="47" xr6:coauthVersionMax="47" xr10:uidLastSave="{098869A0-8F0E-4A31-9A19-EA278BF2D65A}"/>
  <bookViews>
    <workbookView xWindow="-110" yWindow="-110" windowWidth="19420" windowHeight="10420" xr2:uid="{495C0086-0B80-41C3-9144-0C73C0EF2248}"/>
  </bookViews>
  <sheets>
    <sheet name="LICENSE" sheetId="10" r:id="rId1"/>
    <sheet name="(1) Tbl.Cnts" sheetId="11" r:id="rId2"/>
    <sheet name="(2)Dev.-Inv. &amp; Lender Input" sheetId="1" r:id="rId3"/>
    <sheet name="(3)Development Budget Input" sheetId="2" r:id="rId4"/>
    <sheet name="(4)Income &amp; Expense Input" sheetId="3" r:id="rId5"/>
    <sheet name="(5)Project Summary" sheetId="4" r:id="rId6"/>
    <sheet name="(6)Development Budget" sheetId="5" r:id="rId7"/>
    <sheet name="(7)Cost Mark-up Feasibility " sheetId="6" r:id="rId8"/>
    <sheet name="(8)Rent Constant Feasibility" sheetId="7" r:id="rId9"/>
    <sheet name="(9)Annual Cash Flow Projection" sheetId="8" r:id="rId10"/>
    <sheet name="(10)Sale Proceeds-Ratios" sheetId="9" r:id="rId11"/>
  </sheets>
  <definedNames>
    <definedName name="INPUTS2">'(2)Dev.-Inv. &amp; Lender Input'!$E$11:$F$12,'(2)Dev.-Inv. &amp; Lender Input'!$E$15:$F$22,'(2)Dev.-Inv. &amp; Lender Input'!$E$25:$F$31,'(2)Dev.-Inv. &amp; Lender Input'!$E$34:$F$37</definedName>
    <definedName name="INPUTS3">'(3)Development Budget Input'!$E$11:$E$14,'(3)Development Budget Input'!$E$17:$E$18,'(3)Development Budget Input'!$E$21:$E$34,'(3)Development Budget Input'!$E$37:$E$49,'(3)Development Budget Input'!$E$52:$E$63,'(3)Development Budget Input'!$E$66:$E$67</definedName>
    <definedName name="INPUTS4">'(4)Income &amp; Expense Input'!$E$13:$O$14,'(4)Income &amp; Expense Input'!$E$16:$O$17,'(4)Income &amp; Expense Input'!$E$19:$O$20,'(4)Income &amp; Expense Input'!$E$24:$O$30,'(4)Income &amp; Expense Input'!$E$36:$O$42,'(4)Income &amp; Expense Input'!$E$46:$O$52,'(4)Income &amp; Expense Input'!$E$56:$O$62</definedName>
    <definedName name="LICENSE">LICENSE!$B$2:$K$69</definedName>
    <definedName name="_xlnm.Print_Area" localSheetId="1">'(1) Tbl.Cnts'!$B$2:$Q$67</definedName>
    <definedName name="_xlnm.Print_Area" localSheetId="10">'(10)Sale Proceeds-Ratios'!$B$2:$O$64</definedName>
    <definedName name="_xlnm.Print_Area" localSheetId="2">'(2)Dev.-Inv. &amp; Lender Input'!$B$2:$I$72</definedName>
    <definedName name="_xlnm.Print_Area" localSheetId="3">'(3)Development Budget Input'!$B$2:$I$72</definedName>
    <definedName name="_xlnm.Print_Area" localSheetId="4">'(4)Income &amp; Expense Input'!$B$2:$P$65</definedName>
    <definedName name="_xlnm.Print_Area" localSheetId="5">'(5)Project Summary'!$B$2:$G$71</definedName>
    <definedName name="_xlnm.Print_Area" localSheetId="6">'(6)Development Budget'!$B$2:$K$90</definedName>
    <definedName name="_xlnm.Print_Area" localSheetId="7">'(7)Cost Mark-up Feasibility '!$B$2:$L$72</definedName>
    <definedName name="_xlnm.Print_Area" localSheetId="8">'(8)Rent Constant Feasibility'!$B$2:$L$72</definedName>
    <definedName name="_xlnm.Print_Area" localSheetId="9">'(9)Annual Cash Flow Projection'!$B$2:$P$69</definedName>
    <definedName name="_xlnm.Print_Area" localSheetId="0">LICENSE!$B$2:$K$69</definedName>
    <definedName name="Tbl.Cnts">'(1) Tbl.Cnts'!$B$2:$Q$67</definedName>
    <definedName name="VERSION">LICENSE!$C$68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0" l="1"/>
  <c r="E14" i="2"/>
  <c r="F18" i="6"/>
  <c r="F12" i="6"/>
  <c r="N46" i="6"/>
  <c r="F22" i="6"/>
  <c r="F20" i="6"/>
  <c r="R18" i="6"/>
  <c r="O24" i="6"/>
  <c r="K18" i="7" l="1"/>
  <c r="F17" i="7"/>
  <c r="F14" i="7"/>
  <c r="F13" i="7"/>
  <c r="F12" i="7"/>
  <c r="F11" i="7"/>
  <c r="G71" i="2" l="1"/>
  <c r="O64" i="3" s="1"/>
  <c r="F70" i="4" s="1"/>
  <c r="I89" i="5" s="1"/>
  <c r="K71" i="6" s="1"/>
  <c r="K71" i="7" s="1"/>
  <c r="O68" i="8" s="1"/>
  <c r="N63" i="9" s="1"/>
  <c r="H71" i="1" l="1"/>
  <c r="D18" i="11"/>
  <c r="D20" i="11" s="1"/>
  <c r="D22" i="11" s="1"/>
  <c r="D24" i="11" s="1"/>
  <c r="D26" i="11" s="1"/>
  <c r="D29" i="11" s="1"/>
  <c r="D32" i="11" s="1"/>
  <c r="D34" i="11" s="1"/>
  <c r="C68" i="10" l="1"/>
  <c r="C71" i="2" l="1"/>
  <c r="C89" i="5"/>
  <c r="C68" i="8"/>
  <c r="C64" i="3"/>
  <c r="C71" i="6"/>
  <c r="C71" i="7"/>
  <c r="D63" i="9"/>
  <c r="C70" i="4"/>
  <c r="C71" i="1"/>
  <c r="C66" i="11"/>
  <c r="V9" i="7"/>
  <c r="R13" i="7"/>
  <c r="R11" i="7"/>
  <c r="R12" i="7" s="1"/>
  <c r="O7" i="7"/>
  <c r="O6" i="7"/>
  <c r="O5" i="7"/>
  <c r="V9" i="6"/>
  <c r="K18" i="6" s="1"/>
  <c r="R15" i="6"/>
  <c r="R9" i="6"/>
  <c r="O7" i="6"/>
  <c r="O6" i="6"/>
  <c r="O5" i="6"/>
  <c r="F65" i="5"/>
  <c r="F64" i="5"/>
  <c r="F63" i="5"/>
  <c r="F45" i="5"/>
  <c r="F44" i="5"/>
  <c r="F43" i="5"/>
  <c r="F42" i="5"/>
  <c r="E83" i="5"/>
  <c r="E82" i="5"/>
  <c r="F81" i="5"/>
  <c r="F80" i="5"/>
  <c r="H72" i="5"/>
  <c r="H71" i="5"/>
  <c r="H67" i="5"/>
  <c r="H66" i="5"/>
  <c r="H62" i="5"/>
  <c r="H61" i="5"/>
  <c r="H54" i="5"/>
  <c r="H53" i="5"/>
  <c r="H52" i="5"/>
  <c r="H51" i="5"/>
  <c r="H50" i="5"/>
  <c r="H49" i="5"/>
  <c r="H48" i="5"/>
  <c r="H47" i="5"/>
  <c r="H46" i="5"/>
  <c r="H38" i="5"/>
  <c r="H37" i="5"/>
  <c r="H36" i="5"/>
  <c r="H35" i="5"/>
  <c r="H34" i="5"/>
  <c r="H33" i="5"/>
  <c r="H32" i="5"/>
  <c r="H31" i="5"/>
  <c r="H30" i="5"/>
  <c r="H29" i="5"/>
  <c r="H28" i="5"/>
  <c r="H27" i="5"/>
  <c r="E20" i="5"/>
  <c r="G15" i="5"/>
  <c r="I13" i="5"/>
  <c r="H65" i="5" s="1"/>
  <c r="I12" i="5"/>
  <c r="H64" i="5" s="1"/>
  <c r="I11" i="5"/>
  <c r="H63" i="5" s="1"/>
  <c r="E45" i="4"/>
  <c r="E38" i="4"/>
  <c r="E17" i="4"/>
  <c r="E16" i="4"/>
  <c r="E15" i="4"/>
  <c r="E12" i="4"/>
  <c r="E11" i="4"/>
  <c r="E18" i="3"/>
  <c r="E14" i="8" s="1"/>
  <c r="F14" i="8" s="1"/>
  <c r="E15" i="3"/>
  <c r="O44" i="6" s="1"/>
  <c r="E12" i="3"/>
  <c r="O43" i="7" s="1"/>
  <c r="E29" i="8" l="1"/>
  <c r="E13" i="8"/>
  <c r="F13" i="8" s="1"/>
  <c r="E27" i="8"/>
  <c r="E28" i="8"/>
  <c r="F37" i="8"/>
  <c r="F38" i="8"/>
  <c r="F39" i="8"/>
  <c r="E12" i="8"/>
  <c r="F12" i="8" s="1"/>
  <c r="F40" i="8"/>
  <c r="F45" i="8"/>
  <c r="O45" i="6"/>
  <c r="F48" i="8"/>
  <c r="F46" i="8"/>
  <c r="F47" i="8"/>
  <c r="F49" i="8"/>
  <c r="O2" i="6"/>
  <c r="O4" i="7"/>
  <c r="O20" i="7"/>
  <c r="E56" i="8"/>
  <c r="F56" i="8" s="1"/>
  <c r="E57" i="8"/>
  <c r="F57" i="8" s="1"/>
  <c r="E59" i="8"/>
  <c r="F59" i="8" s="1"/>
  <c r="E35" i="8"/>
  <c r="E37" i="8"/>
  <c r="E30" i="8"/>
  <c r="E36" i="8"/>
  <c r="E61" i="8"/>
  <c r="F61" i="8" s="1"/>
  <c r="E60" i="8"/>
  <c r="F60" i="8" s="1"/>
  <c r="F35" i="8"/>
  <c r="O44" i="7"/>
  <c r="E58" i="8"/>
  <c r="F58" i="8" s="1"/>
  <c r="F36" i="8"/>
  <c r="O45" i="7"/>
  <c r="E18" i="8"/>
  <c r="E25" i="8"/>
  <c r="F50" i="8"/>
  <c r="O2" i="7"/>
  <c r="E26" i="8"/>
  <c r="O23" i="7"/>
  <c r="E39" i="8"/>
  <c r="O29" i="7"/>
  <c r="O23" i="6"/>
  <c r="E46" i="8"/>
  <c r="F25" i="8"/>
  <c r="E47" i="8"/>
  <c r="F26" i="8"/>
  <c r="O28" i="6"/>
  <c r="E48" i="8"/>
  <c r="F27" i="8"/>
  <c r="O29" i="6"/>
  <c r="E49" i="8"/>
  <c r="F28" i="8"/>
  <c r="O30" i="6"/>
  <c r="O4" i="6"/>
  <c r="O24" i="7"/>
  <c r="O28" i="7"/>
  <c r="E40" i="8"/>
  <c r="O20" i="6"/>
  <c r="E50" i="8"/>
  <c r="F29" i="8"/>
  <c r="O43" i="6"/>
  <c r="E38" i="8"/>
  <c r="O30" i="7"/>
  <c r="E45" i="8"/>
  <c r="F30" i="8"/>
  <c r="E17" i="8" l="1"/>
  <c r="E16" i="8"/>
  <c r="E31" i="8" s="1"/>
  <c r="E51" i="8"/>
  <c r="E41" i="8"/>
  <c r="V3" i="6" l="1"/>
  <c r="K12" i="6" s="1"/>
  <c r="V3" i="7"/>
  <c r="K12" i="7" s="1"/>
  <c r="V5" i="7"/>
  <c r="K14" i="7" s="1"/>
  <c r="V5" i="6"/>
  <c r="K14" i="6" s="1"/>
  <c r="O46" i="7" l="1"/>
  <c r="Q17" i="7"/>
  <c r="Q18" i="7"/>
  <c r="R21" i="7"/>
  <c r="F19" i="7" s="1"/>
  <c r="N12" i="7"/>
  <c r="N11" i="7"/>
  <c r="N7" i="7"/>
  <c r="P7" i="7" s="1"/>
  <c r="N6" i="7"/>
  <c r="P6" i="7" s="1"/>
  <c r="N5" i="7"/>
  <c r="P5" i="7" s="1"/>
  <c r="O31" i="6"/>
  <c r="R21" i="6"/>
  <c r="N12" i="6"/>
  <c r="N11" i="6"/>
  <c r="N10" i="6"/>
  <c r="N7" i="6"/>
  <c r="P7" i="6" s="1"/>
  <c r="N6" i="6"/>
  <c r="P6" i="6" s="1"/>
  <c r="N5" i="6"/>
  <c r="P5" i="6" s="1"/>
  <c r="H73" i="5"/>
  <c r="E26" i="4" s="1"/>
  <c r="H44" i="5"/>
  <c r="H43" i="5"/>
  <c r="I15" i="5"/>
  <c r="E19" i="4" s="1"/>
  <c r="E18" i="4"/>
  <c r="F62" i="3"/>
  <c r="G62" i="3" s="1"/>
  <c r="H62" i="3" s="1"/>
  <c r="I62" i="3" s="1"/>
  <c r="J62" i="3" s="1"/>
  <c r="K62" i="3" s="1"/>
  <c r="L62" i="3" s="1"/>
  <c r="M62" i="3" s="1"/>
  <c r="N62" i="3" s="1"/>
  <c r="O62" i="3" s="1"/>
  <c r="G61" i="3"/>
  <c r="G60" i="3"/>
  <c r="G59" i="3"/>
  <c r="G58" i="3"/>
  <c r="G57" i="3"/>
  <c r="G56" i="3"/>
  <c r="F52" i="3"/>
  <c r="G52" i="3" s="1"/>
  <c r="H52" i="3" s="1"/>
  <c r="I52" i="3" s="1"/>
  <c r="J52" i="3" s="1"/>
  <c r="K52" i="3" s="1"/>
  <c r="L52" i="3" s="1"/>
  <c r="M52" i="3" s="1"/>
  <c r="N52" i="3" s="1"/>
  <c r="O52" i="3" s="1"/>
  <c r="G51" i="3"/>
  <c r="G50" i="3"/>
  <c r="G49" i="3"/>
  <c r="G48" i="3"/>
  <c r="G47" i="3"/>
  <c r="G46" i="3"/>
  <c r="H46" i="3" s="1"/>
  <c r="F42" i="3"/>
  <c r="G42" i="3" s="1"/>
  <c r="H42" i="3" s="1"/>
  <c r="I42" i="3" s="1"/>
  <c r="J42" i="3" s="1"/>
  <c r="K42" i="3" s="1"/>
  <c r="L42" i="3" s="1"/>
  <c r="M42" i="3" s="1"/>
  <c r="N42" i="3" s="1"/>
  <c r="O42" i="3" s="1"/>
  <c r="G41" i="3"/>
  <c r="G40" i="3"/>
  <c r="G39" i="3"/>
  <c r="G38" i="3"/>
  <c r="G37" i="3"/>
  <c r="G36" i="3"/>
  <c r="F30" i="3"/>
  <c r="G30" i="3" s="1"/>
  <c r="H30" i="3" s="1"/>
  <c r="I30" i="3" s="1"/>
  <c r="J30" i="3" s="1"/>
  <c r="K30" i="3" s="1"/>
  <c r="L30" i="3" s="1"/>
  <c r="M30" i="3" s="1"/>
  <c r="N30" i="3" s="1"/>
  <c r="O30" i="3" s="1"/>
  <c r="G29" i="3"/>
  <c r="G28" i="3"/>
  <c r="G27" i="3"/>
  <c r="H27" i="3" s="1"/>
  <c r="G26" i="3"/>
  <c r="G25" i="3"/>
  <c r="G24" i="3"/>
  <c r="F20" i="3"/>
  <c r="G19" i="3"/>
  <c r="F17" i="3"/>
  <c r="G16" i="3"/>
  <c r="F14" i="3"/>
  <c r="E22" i="2"/>
  <c r="H26" i="5" s="1"/>
  <c r="E21" i="2"/>
  <c r="H25" i="5" s="1"/>
  <c r="I46" i="3" l="1"/>
  <c r="I35" i="8" s="1"/>
  <c r="H24" i="3"/>
  <c r="I24" i="3" s="1"/>
  <c r="J24" i="3" s="1"/>
  <c r="K24" i="3" s="1"/>
  <c r="L24" i="3" s="1"/>
  <c r="M24" i="3" s="1"/>
  <c r="N24" i="3" s="1"/>
  <c r="O24" i="3" s="1"/>
  <c r="G56" i="8"/>
  <c r="H56" i="8" s="1"/>
  <c r="I56" i="8" s="1"/>
  <c r="J56" i="8" s="1"/>
  <c r="K56" i="8" s="1"/>
  <c r="L56" i="8" s="1"/>
  <c r="M56" i="8" s="1"/>
  <c r="N56" i="8" s="1"/>
  <c r="O56" i="8" s="1"/>
  <c r="H61" i="3"/>
  <c r="H50" i="8" s="1"/>
  <c r="G50" i="8"/>
  <c r="I27" i="3"/>
  <c r="J27" i="3" s="1"/>
  <c r="K27" i="3" s="1"/>
  <c r="L27" i="3" s="1"/>
  <c r="M27" i="3" s="1"/>
  <c r="N27" i="3" s="1"/>
  <c r="O27" i="3" s="1"/>
  <c r="G59" i="8"/>
  <c r="H36" i="3"/>
  <c r="H25" i="8" s="1"/>
  <c r="G25" i="8"/>
  <c r="H38" i="3"/>
  <c r="H27" i="8" s="1"/>
  <c r="G27" i="8"/>
  <c r="H50" i="3"/>
  <c r="H39" i="8" s="1"/>
  <c r="G39" i="8"/>
  <c r="H57" i="3"/>
  <c r="H46" i="8" s="1"/>
  <c r="G46" i="8"/>
  <c r="H58" i="3"/>
  <c r="H47" i="8" s="1"/>
  <c r="G47" i="8"/>
  <c r="H28" i="3"/>
  <c r="I28" i="3" s="1"/>
  <c r="J28" i="3" s="1"/>
  <c r="K28" i="3" s="1"/>
  <c r="L28" i="3" s="1"/>
  <c r="M28" i="3" s="1"/>
  <c r="N28" i="3" s="1"/>
  <c r="O28" i="3" s="1"/>
  <c r="G60" i="8"/>
  <c r="H40" i="3"/>
  <c r="H29" i="8" s="1"/>
  <c r="G29" i="8"/>
  <c r="H41" i="3"/>
  <c r="H30" i="8" s="1"/>
  <c r="G30" i="8"/>
  <c r="H47" i="3"/>
  <c r="H36" i="8" s="1"/>
  <c r="G36" i="8"/>
  <c r="H48" i="3"/>
  <c r="H37" i="8" s="1"/>
  <c r="G37" i="8"/>
  <c r="H49" i="3"/>
  <c r="H38" i="8" s="1"/>
  <c r="G38" i="8"/>
  <c r="H51" i="3"/>
  <c r="H40" i="8" s="1"/>
  <c r="G40" i="8"/>
  <c r="H56" i="3"/>
  <c r="H45" i="8" s="1"/>
  <c r="G45" i="8"/>
  <c r="H59" i="3"/>
  <c r="H48" i="8" s="1"/>
  <c r="G48" i="8"/>
  <c r="H16" i="3"/>
  <c r="I16" i="3" s="1"/>
  <c r="J16" i="3" s="1"/>
  <c r="K16" i="3" s="1"/>
  <c r="L16" i="3" s="1"/>
  <c r="M16" i="3" s="1"/>
  <c r="N16" i="3" s="1"/>
  <c r="G13" i="8"/>
  <c r="G17" i="3"/>
  <c r="H17" i="3" s="1"/>
  <c r="I17" i="3" s="1"/>
  <c r="J17" i="3" s="1"/>
  <c r="K17" i="3" s="1"/>
  <c r="L17" i="3" s="1"/>
  <c r="M17" i="3" s="1"/>
  <c r="N17" i="3" s="1"/>
  <c r="O17" i="3" s="1"/>
  <c r="F17" i="8"/>
  <c r="F41" i="8" s="1"/>
  <c r="H19" i="3"/>
  <c r="I19" i="3" s="1"/>
  <c r="J19" i="3" s="1"/>
  <c r="K19" i="3" s="1"/>
  <c r="L19" i="3" s="1"/>
  <c r="M19" i="3" s="1"/>
  <c r="N19" i="3" s="1"/>
  <c r="O19" i="3" s="1"/>
  <c r="G14" i="8"/>
  <c r="G20" i="3"/>
  <c r="H20" i="3" s="1"/>
  <c r="I20" i="3" s="1"/>
  <c r="J20" i="3" s="1"/>
  <c r="K20" i="3" s="1"/>
  <c r="L20" i="3" s="1"/>
  <c r="M20" i="3" s="1"/>
  <c r="N20" i="3" s="1"/>
  <c r="O20" i="3" s="1"/>
  <c r="F18" i="8"/>
  <c r="F51" i="8" s="1"/>
  <c r="H25" i="3"/>
  <c r="I25" i="3" s="1"/>
  <c r="J25" i="3" s="1"/>
  <c r="K25" i="3" s="1"/>
  <c r="L25" i="3" s="1"/>
  <c r="M25" i="3" s="1"/>
  <c r="N25" i="3" s="1"/>
  <c r="O25" i="3" s="1"/>
  <c r="G57" i="8"/>
  <c r="H26" i="3"/>
  <c r="I26" i="3" s="1"/>
  <c r="J26" i="3" s="1"/>
  <c r="K26" i="3" s="1"/>
  <c r="L26" i="3" s="1"/>
  <c r="M26" i="3" s="1"/>
  <c r="N26" i="3" s="1"/>
  <c r="O26" i="3" s="1"/>
  <c r="G58" i="8"/>
  <c r="H29" i="3"/>
  <c r="I29" i="3" s="1"/>
  <c r="J29" i="3" s="1"/>
  <c r="K29" i="3" s="1"/>
  <c r="L29" i="3" s="1"/>
  <c r="M29" i="3" s="1"/>
  <c r="N29" i="3" s="1"/>
  <c r="O29" i="3" s="1"/>
  <c r="G61" i="8"/>
  <c r="H37" i="3"/>
  <c r="H26" i="8" s="1"/>
  <c r="G26" i="8"/>
  <c r="H39" i="3"/>
  <c r="H28" i="8" s="1"/>
  <c r="G28" i="8"/>
  <c r="H35" i="8"/>
  <c r="G35" i="8"/>
  <c r="G12" i="8"/>
  <c r="H60" i="3"/>
  <c r="H49" i="8" s="1"/>
  <c r="G49" i="8"/>
  <c r="N13" i="6"/>
  <c r="P8" i="6"/>
  <c r="G14" i="3"/>
  <c r="F16" i="8"/>
  <c r="F31" i="8" s="1"/>
  <c r="P8" i="7"/>
  <c r="O8" i="7" s="1"/>
  <c r="I14" i="5"/>
  <c r="I27" i="5" s="1"/>
  <c r="N10" i="7"/>
  <c r="N13" i="7" s="1"/>
  <c r="H39" i="5"/>
  <c r="E23" i="4" s="1"/>
  <c r="O46" i="6"/>
  <c r="H20" i="5"/>
  <c r="H42" i="5"/>
  <c r="E15" i="8"/>
  <c r="R18" i="7"/>
  <c r="R14" i="7"/>
  <c r="O31" i="7"/>
  <c r="I67" i="5" l="1"/>
  <c r="I32" i="5"/>
  <c r="I63" i="5"/>
  <c r="I64" i="5"/>
  <c r="I47" i="5"/>
  <c r="I61" i="5"/>
  <c r="I49" i="5"/>
  <c r="I43" i="5"/>
  <c r="I29" i="5"/>
  <c r="I30" i="5"/>
  <c r="I46" i="5"/>
  <c r="H59" i="8"/>
  <c r="I59" i="8" s="1"/>
  <c r="J59" i="8" s="1"/>
  <c r="K59" i="8" s="1"/>
  <c r="L59" i="8" s="1"/>
  <c r="M59" i="8" s="1"/>
  <c r="N59" i="8" s="1"/>
  <c r="O59" i="8" s="1"/>
  <c r="H58" i="8"/>
  <c r="I58" i="8" s="1"/>
  <c r="J58" i="8" s="1"/>
  <c r="K58" i="8" s="1"/>
  <c r="L58" i="8" s="1"/>
  <c r="M58" i="8" s="1"/>
  <c r="N58" i="8" s="1"/>
  <c r="O58" i="8" s="1"/>
  <c r="H61" i="8"/>
  <c r="I61" i="8" s="1"/>
  <c r="J61" i="8" s="1"/>
  <c r="K61" i="8" s="1"/>
  <c r="L61" i="8" s="1"/>
  <c r="M61" i="8" s="1"/>
  <c r="N61" i="8" s="1"/>
  <c r="O61" i="8" s="1"/>
  <c r="H60" i="8"/>
  <c r="I60" i="8" s="1"/>
  <c r="J60" i="8" s="1"/>
  <c r="K60" i="8" s="1"/>
  <c r="L60" i="8" s="1"/>
  <c r="M60" i="8" s="1"/>
  <c r="N60" i="8" s="1"/>
  <c r="O60" i="8" s="1"/>
  <c r="H57" i="8"/>
  <c r="I57" i="8" s="1"/>
  <c r="J57" i="8" s="1"/>
  <c r="K57" i="8" s="1"/>
  <c r="L57" i="8" s="1"/>
  <c r="M57" i="8" s="1"/>
  <c r="N57" i="8" s="1"/>
  <c r="O57" i="8" s="1"/>
  <c r="I40" i="3"/>
  <c r="I29" i="8" s="1"/>
  <c r="H14" i="8"/>
  <c r="G18" i="8"/>
  <c r="G51" i="8" s="1"/>
  <c r="H13" i="8"/>
  <c r="G17" i="8"/>
  <c r="G41" i="8" s="1"/>
  <c r="I50" i="3"/>
  <c r="G15" i="8"/>
  <c r="G20" i="8" s="1"/>
  <c r="H12" i="8"/>
  <c r="I51" i="3"/>
  <c r="I40" i="8" s="1"/>
  <c r="I41" i="3"/>
  <c r="I30" i="8" s="1"/>
  <c r="I59" i="3"/>
  <c r="I48" i="8" s="1"/>
  <c r="I56" i="3"/>
  <c r="I45" i="8" s="1"/>
  <c r="I60" i="3"/>
  <c r="I49" i="8" s="1"/>
  <c r="I36" i="3"/>
  <c r="I25" i="8" s="1"/>
  <c r="I39" i="3"/>
  <c r="I28" i="8" s="1"/>
  <c r="I49" i="3"/>
  <c r="I38" i="8" s="1"/>
  <c r="I58" i="3"/>
  <c r="I47" i="8" s="1"/>
  <c r="I57" i="3"/>
  <c r="I46" i="8" s="1"/>
  <c r="I38" i="3"/>
  <c r="I27" i="8" s="1"/>
  <c r="I61" i="3"/>
  <c r="I50" i="8" s="1"/>
  <c r="I48" i="3"/>
  <c r="I37" i="8" s="1"/>
  <c r="I37" i="3"/>
  <c r="I26" i="8" s="1"/>
  <c r="I47" i="3"/>
  <c r="I36" i="8" s="1"/>
  <c r="J46" i="3"/>
  <c r="J35" i="8" s="1"/>
  <c r="O8" i="6"/>
  <c r="H21" i="5"/>
  <c r="H22" i="5" s="1"/>
  <c r="E22" i="4" s="1"/>
  <c r="E20" i="8"/>
  <c r="V2" i="7"/>
  <c r="V2" i="6"/>
  <c r="H14" i="3"/>
  <c r="G16" i="8"/>
  <c r="I48" i="5"/>
  <c r="I50" i="5"/>
  <c r="I52" i="5"/>
  <c r="I51" i="5"/>
  <c r="I35" i="5"/>
  <c r="I53" i="5"/>
  <c r="I31" i="5"/>
  <c r="I28" i="5"/>
  <c r="I36" i="5"/>
  <c r="I65" i="5"/>
  <c r="I54" i="5"/>
  <c r="I33" i="5"/>
  <c r="I71" i="5"/>
  <c r="I66" i="5"/>
  <c r="I72" i="5"/>
  <c r="H45" i="5"/>
  <c r="I45" i="5" s="1"/>
  <c r="I38" i="5"/>
  <c r="I25" i="5"/>
  <c r="I44" i="5"/>
  <c r="I26" i="5"/>
  <c r="I34" i="5"/>
  <c r="I42" i="5"/>
  <c r="I37" i="5"/>
  <c r="I62" i="5"/>
  <c r="I20" i="5"/>
  <c r="E21" i="8"/>
  <c r="E19" i="8"/>
  <c r="E52" i="8" s="1"/>
  <c r="F15" i="8"/>
  <c r="F20" i="8" s="1"/>
  <c r="V4" i="7" l="1"/>
  <c r="V6" i="7" s="1"/>
  <c r="K15" i="7" s="1"/>
  <c r="K11" i="7"/>
  <c r="V4" i="6"/>
  <c r="K13" i="6" s="1"/>
  <c r="K11" i="6"/>
  <c r="I21" i="5"/>
  <c r="I22" i="5" s="1"/>
  <c r="J56" i="3"/>
  <c r="J45" i="8" s="1"/>
  <c r="J59" i="3"/>
  <c r="J48" i="8" s="1"/>
  <c r="J57" i="3"/>
  <c r="J46" i="8" s="1"/>
  <c r="J50" i="3"/>
  <c r="J39" i="8" s="1"/>
  <c r="J58" i="3"/>
  <c r="J47" i="8" s="1"/>
  <c r="J36" i="3"/>
  <c r="J25" i="8" s="1"/>
  <c r="J47" i="3"/>
  <c r="J36" i="8" s="1"/>
  <c r="J61" i="3"/>
  <c r="J50" i="8" s="1"/>
  <c r="J60" i="3"/>
  <c r="J49" i="8" s="1"/>
  <c r="K46" i="3"/>
  <c r="K35" i="8" s="1"/>
  <c r="I39" i="8"/>
  <c r="J37" i="3"/>
  <c r="H17" i="8"/>
  <c r="H41" i="8" s="1"/>
  <c r="I13" i="8"/>
  <c r="J48" i="3"/>
  <c r="J37" i="8" s="1"/>
  <c r="J40" i="3"/>
  <c r="J29" i="8" s="1"/>
  <c r="J49" i="3"/>
  <c r="J38" i="8" s="1"/>
  <c r="J39" i="3"/>
  <c r="J28" i="8" s="1"/>
  <c r="J41" i="3"/>
  <c r="J30" i="8" s="1"/>
  <c r="J51" i="3"/>
  <c r="J40" i="8" s="1"/>
  <c r="I12" i="8"/>
  <c r="H15" i="8"/>
  <c r="H20" i="8" s="1"/>
  <c r="H18" i="8"/>
  <c r="H51" i="8" s="1"/>
  <c r="I14" i="8"/>
  <c r="J38" i="3"/>
  <c r="J27" i="8" s="1"/>
  <c r="O3" i="7"/>
  <c r="O3" i="6"/>
  <c r="G31" i="8"/>
  <c r="G21" i="8"/>
  <c r="G19" i="8"/>
  <c r="I14" i="3"/>
  <c r="H16" i="8"/>
  <c r="E62" i="8"/>
  <c r="I55" i="5"/>
  <c r="I39" i="5"/>
  <c r="H55" i="5"/>
  <c r="E24" i="4" s="1"/>
  <c r="I73" i="5"/>
  <c r="F21" i="8"/>
  <c r="F19" i="8"/>
  <c r="F52" i="8" s="1"/>
  <c r="V6" i="6" l="1"/>
  <c r="K15" i="6" s="1"/>
  <c r="K13" i="7"/>
  <c r="G52" i="8"/>
  <c r="G62" i="8" s="1"/>
  <c r="G63" i="8" s="1"/>
  <c r="F69" i="9" s="1"/>
  <c r="F70" i="9" s="1"/>
  <c r="K40" i="3"/>
  <c r="K29" i="8" s="1"/>
  <c r="K37" i="3"/>
  <c r="K26" i="8" s="1"/>
  <c r="I17" i="8"/>
  <c r="I41" i="8" s="1"/>
  <c r="J13" i="8"/>
  <c r="L46" i="3"/>
  <c r="K60" i="3"/>
  <c r="K61" i="3"/>
  <c r="K50" i="8" s="1"/>
  <c r="K47" i="3"/>
  <c r="K36" i="8" s="1"/>
  <c r="I18" i="8"/>
  <c r="I51" i="8" s="1"/>
  <c r="J14" i="8"/>
  <c r="K41" i="3"/>
  <c r="K30" i="8" s="1"/>
  <c r="K59" i="3"/>
  <c r="K48" i="8" s="1"/>
  <c r="K49" i="3"/>
  <c r="K38" i="8" s="1"/>
  <c r="K48" i="3"/>
  <c r="K37" i="8" s="1"/>
  <c r="J26" i="8"/>
  <c r="K38" i="3"/>
  <c r="K27" i="8" s="1"/>
  <c r="K51" i="3"/>
  <c r="K40" i="8" s="1"/>
  <c r="K57" i="3"/>
  <c r="K46" i="8" s="1"/>
  <c r="K36" i="3"/>
  <c r="K25" i="8" s="1"/>
  <c r="K58" i="3"/>
  <c r="K47" i="8" s="1"/>
  <c r="I15" i="8"/>
  <c r="I20" i="8" s="1"/>
  <c r="J12" i="8"/>
  <c r="K50" i="3"/>
  <c r="K39" i="8" s="1"/>
  <c r="K39" i="3"/>
  <c r="K28" i="8" s="1"/>
  <c r="K56" i="3"/>
  <c r="K45" i="8" s="1"/>
  <c r="E63" i="8"/>
  <c r="E28" i="4" s="1"/>
  <c r="V7" i="7"/>
  <c r="V7" i="6"/>
  <c r="J14" i="3"/>
  <c r="I16" i="8"/>
  <c r="H31" i="8"/>
  <c r="H19" i="8"/>
  <c r="H21" i="8"/>
  <c r="F62" i="8"/>
  <c r="F63" i="8" s="1"/>
  <c r="E69" i="9" s="1"/>
  <c r="E70" i="9" s="1"/>
  <c r="V8" i="7" l="1"/>
  <c r="K16" i="7"/>
  <c r="V8" i="6"/>
  <c r="K16" i="6"/>
  <c r="H52" i="8"/>
  <c r="H62" i="8" s="1"/>
  <c r="H63" i="8" s="1"/>
  <c r="G69" i="9" s="1"/>
  <c r="G70" i="9" s="1"/>
  <c r="E34" i="4"/>
  <c r="E42" i="4"/>
  <c r="L57" i="3"/>
  <c r="L46" i="8" s="1"/>
  <c r="L51" i="3"/>
  <c r="L40" i="8" s="1"/>
  <c r="L60" i="3"/>
  <c r="L49" i="8" s="1"/>
  <c r="L39" i="3"/>
  <c r="M46" i="3"/>
  <c r="M35" i="8" s="1"/>
  <c r="J15" i="8"/>
  <c r="J20" i="8" s="1"/>
  <c r="K12" i="8"/>
  <c r="L37" i="3"/>
  <c r="L26" i="8" s="1"/>
  <c r="L48" i="3"/>
  <c r="L37" i="8" s="1"/>
  <c r="L49" i="3"/>
  <c r="L38" i="8" s="1"/>
  <c r="L59" i="3"/>
  <c r="L48" i="8" s="1"/>
  <c r="L41" i="3"/>
  <c r="L30" i="8" s="1"/>
  <c r="L47" i="3"/>
  <c r="L56" i="3"/>
  <c r="L45" i="8" s="1"/>
  <c r="L61" i="3"/>
  <c r="L50" i="8" s="1"/>
  <c r="K49" i="8"/>
  <c r="L35" i="8"/>
  <c r="K13" i="8"/>
  <c r="J17" i="8"/>
  <c r="J41" i="8" s="1"/>
  <c r="L58" i="3"/>
  <c r="L47" i="8" s="1"/>
  <c r="L38" i="3"/>
  <c r="L27" i="8" s="1"/>
  <c r="K14" i="8"/>
  <c r="J18" i="8"/>
  <c r="J51" i="8" s="1"/>
  <c r="L50" i="3"/>
  <c r="L36" i="3"/>
  <c r="L25" i="8" s="1"/>
  <c r="L40" i="3"/>
  <c r="L29" i="8" s="1"/>
  <c r="E41" i="4"/>
  <c r="F36" i="9"/>
  <c r="E36" i="9"/>
  <c r="E11" i="9"/>
  <c r="E12" i="9" s="1"/>
  <c r="G36" i="9"/>
  <c r="I31" i="8"/>
  <c r="I21" i="8"/>
  <c r="I19" i="8"/>
  <c r="K14" i="3"/>
  <c r="J16" i="8"/>
  <c r="E33" i="4"/>
  <c r="E43" i="4" l="1"/>
  <c r="E17" i="9" s="1"/>
  <c r="V10" i="6"/>
  <c r="K17" i="6"/>
  <c r="V10" i="7"/>
  <c r="K19" i="7" s="1"/>
  <c r="K17" i="7"/>
  <c r="H36" i="9"/>
  <c r="J64" i="8"/>
  <c r="J71" i="9" s="1"/>
  <c r="F64" i="8"/>
  <c r="F65" i="8" s="1"/>
  <c r="G78" i="9" s="1"/>
  <c r="H78" i="9" s="1"/>
  <c r="I78" i="9" s="1"/>
  <c r="J78" i="9" s="1"/>
  <c r="K78" i="9" s="1"/>
  <c r="L78" i="9" s="1"/>
  <c r="M78" i="9" s="1"/>
  <c r="N78" i="9" s="1"/>
  <c r="K17" i="8"/>
  <c r="K41" i="8" s="1"/>
  <c r="L13" i="8"/>
  <c r="M37" i="3"/>
  <c r="M26" i="8" s="1"/>
  <c r="M61" i="3"/>
  <c r="M50" i="8" s="1"/>
  <c r="M56" i="3"/>
  <c r="M45" i="8" s="1"/>
  <c r="M41" i="3"/>
  <c r="M30" i="8" s="1"/>
  <c r="M59" i="3"/>
  <c r="M48" i="8" s="1"/>
  <c r="M50" i="3"/>
  <c r="M39" i="8" s="1"/>
  <c r="M49" i="3"/>
  <c r="M40" i="3"/>
  <c r="M29" i="8" s="1"/>
  <c r="M36" i="3"/>
  <c r="M25" i="8" s="1"/>
  <c r="M39" i="3"/>
  <c r="M28" i="8" s="1"/>
  <c r="L14" i="8"/>
  <c r="K18" i="8"/>
  <c r="K51" i="8" s="1"/>
  <c r="M51" i="3"/>
  <c r="M40" i="8" s="1"/>
  <c r="M47" i="3"/>
  <c r="M36" i="8" s="1"/>
  <c r="L12" i="8"/>
  <c r="K15" i="8"/>
  <c r="K20" i="8" s="1"/>
  <c r="N46" i="3"/>
  <c r="L39" i="8"/>
  <c r="L28" i="8"/>
  <c r="M60" i="3"/>
  <c r="M49" i="8" s="1"/>
  <c r="L36" i="8"/>
  <c r="I52" i="8"/>
  <c r="I62" i="8" s="1"/>
  <c r="I63" i="8" s="1"/>
  <c r="H69" i="9" s="1"/>
  <c r="H70" i="9" s="1"/>
  <c r="M48" i="3"/>
  <c r="M37" i="8" s="1"/>
  <c r="M38" i="3"/>
  <c r="M27" i="8" s="1"/>
  <c r="M58" i="3"/>
  <c r="M47" i="8" s="1"/>
  <c r="M57" i="3"/>
  <c r="M46" i="8" s="1"/>
  <c r="J31" i="8"/>
  <c r="J19" i="8"/>
  <c r="J21" i="8"/>
  <c r="L14" i="3"/>
  <c r="K16" i="8"/>
  <c r="E44" i="4" l="1"/>
  <c r="E20" i="9" s="1"/>
  <c r="E64" i="8"/>
  <c r="E37" i="9" s="1"/>
  <c r="G64" i="8"/>
  <c r="G65" i="8" s="1"/>
  <c r="H79" i="9" s="1"/>
  <c r="I79" i="9" s="1"/>
  <c r="J79" i="9" s="1"/>
  <c r="K79" i="9" s="1"/>
  <c r="L79" i="9" s="1"/>
  <c r="M79" i="9" s="1"/>
  <c r="N79" i="9" s="1"/>
  <c r="M64" i="8"/>
  <c r="M71" i="9" s="1"/>
  <c r="I64" i="8"/>
  <c r="I71" i="9" s="1"/>
  <c r="N64" i="8"/>
  <c r="N71" i="9" s="1"/>
  <c r="L64" i="8"/>
  <c r="L71" i="9" s="1"/>
  <c r="H64" i="8"/>
  <c r="H65" i="8" s="1"/>
  <c r="I80" i="9" s="1"/>
  <c r="J80" i="9" s="1"/>
  <c r="K80" i="9" s="1"/>
  <c r="L80" i="9" s="1"/>
  <c r="M80" i="9" s="1"/>
  <c r="N80" i="9" s="1"/>
  <c r="K64" i="8"/>
  <c r="K71" i="9" s="1"/>
  <c r="K19" i="6"/>
  <c r="V11" i="6"/>
  <c r="F37" i="9"/>
  <c r="F71" i="9"/>
  <c r="F38" i="9" s="1"/>
  <c r="I36" i="9"/>
  <c r="N49" i="3"/>
  <c r="N38" i="8" s="1"/>
  <c r="L15" i="8"/>
  <c r="L20" i="8" s="1"/>
  <c r="M12" i="8"/>
  <c r="N39" i="3"/>
  <c r="N28" i="8" s="1"/>
  <c r="O46" i="3"/>
  <c r="O35" i="8" s="1"/>
  <c r="M38" i="8"/>
  <c r="N57" i="3"/>
  <c r="N58" i="3"/>
  <c r="N47" i="8" s="1"/>
  <c r="N56" i="3"/>
  <c r="N45" i="8" s="1"/>
  <c r="N36" i="3"/>
  <c r="N25" i="8" s="1"/>
  <c r="N40" i="3"/>
  <c r="N50" i="3"/>
  <c r="N39" i="8" s="1"/>
  <c r="N41" i="3"/>
  <c r="N30" i="8" s="1"/>
  <c r="E71" i="9"/>
  <c r="E72" i="9" s="1"/>
  <c r="N48" i="3"/>
  <c r="N37" i="8" s="1"/>
  <c r="N37" i="3"/>
  <c r="N26" i="8" s="1"/>
  <c r="N59" i="3"/>
  <c r="N48" i="8" s="1"/>
  <c r="N61" i="3"/>
  <c r="N50" i="8" s="1"/>
  <c r="N60" i="3"/>
  <c r="N49" i="8" s="1"/>
  <c r="M13" i="8"/>
  <c r="L17" i="8"/>
  <c r="L41" i="8" s="1"/>
  <c r="N47" i="3"/>
  <c r="N36" i="8" s="1"/>
  <c r="N51" i="3"/>
  <c r="N40" i="8" s="1"/>
  <c r="M14" i="8"/>
  <c r="L18" i="8"/>
  <c r="L51" i="8" s="1"/>
  <c r="N38" i="3"/>
  <c r="N27" i="8" s="1"/>
  <c r="I65" i="8"/>
  <c r="J81" i="9" s="1"/>
  <c r="K81" i="9" s="1"/>
  <c r="L81" i="9" s="1"/>
  <c r="M81" i="9" s="1"/>
  <c r="N81" i="9" s="1"/>
  <c r="N35" i="8"/>
  <c r="J52" i="8"/>
  <c r="J62" i="8" s="1"/>
  <c r="J63" i="8" s="1"/>
  <c r="M14" i="3"/>
  <c r="L16" i="8"/>
  <c r="K31" i="8"/>
  <c r="K19" i="8"/>
  <c r="K21" i="8"/>
  <c r="G37" i="9" l="1"/>
  <c r="H71" i="9"/>
  <c r="H72" i="9" s="1"/>
  <c r="G71" i="9"/>
  <c r="G38" i="9" s="1"/>
  <c r="H37" i="9"/>
  <c r="I37" i="9"/>
  <c r="E65" i="8"/>
  <c r="F77" i="9" s="1"/>
  <c r="G77" i="9" s="1"/>
  <c r="H77" i="9" s="1"/>
  <c r="I77" i="9" s="1"/>
  <c r="J77" i="9" s="1"/>
  <c r="K77" i="9" s="1"/>
  <c r="L77" i="9" s="1"/>
  <c r="M77" i="9" s="1"/>
  <c r="N77" i="9" s="1"/>
  <c r="V12" i="6"/>
  <c r="K20" i="6"/>
  <c r="F72" i="9"/>
  <c r="F78" i="9" s="1"/>
  <c r="H38" i="9"/>
  <c r="O48" i="3"/>
  <c r="O37" i="8" s="1"/>
  <c r="E38" i="9"/>
  <c r="O59" i="3"/>
  <c r="O48" i="8" s="1"/>
  <c r="O57" i="3"/>
  <c r="O46" i="8" s="1"/>
  <c r="O40" i="3"/>
  <c r="O29" i="8" s="1"/>
  <c r="N46" i="8"/>
  <c r="O41" i="3"/>
  <c r="O30" i="8" s="1"/>
  <c r="O50" i="3"/>
  <c r="O39" i="8" s="1"/>
  <c r="N29" i="8"/>
  <c r="O38" i="3"/>
  <c r="O27" i="8" s="1"/>
  <c r="O58" i="3"/>
  <c r="O47" i="8" s="1"/>
  <c r="O51" i="3"/>
  <c r="O40" i="8" s="1"/>
  <c r="O47" i="3"/>
  <c r="O36" i="8" s="1"/>
  <c r="N13" i="8"/>
  <c r="M17" i="8"/>
  <c r="M41" i="8" s="1"/>
  <c r="O37" i="3"/>
  <c r="O26" i="8" s="1"/>
  <c r="O36" i="3"/>
  <c r="O25" i="8" s="1"/>
  <c r="O56" i="3"/>
  <c r="O45" i="8" s="1"/>
  <c r="M18" i="8"/>
  <c r="M51" i="8" s="1"/>
  <c r="N14" i="8"/>
  <c r="O39" i="3"/>
  <c r="O28" i="8" s="1"/>
  <c r="M15" i="8"/>
  <c r="M20" i="8" s="1"/>
  <c r="N12" i="8"/>
  <c r="O60" i="3"/>
  <c r="O49" i="8" s="1"/>
  <c r="O61" i="3"/>
  <c r="O50" i="8" s="1"/>
  <c r="O49" i="3"/>
  <c r="O38" i="8" s="1"/>
  <c r="K52" i="8"/>
  <c r="K62" i="8" s="1"/>
  <c r="K63" i="8" s="1"/>
  <c r="K65" i="8" s="1"/>
  <c r="L83" i="9" s="1"/>
  <c r="M83" i="9" s="1"/>
  <c r="N83" i="9" s="1"/>
  <c r="H80" i="9"/>
  <c r="J65" i="8"/>
  <c r="K82" i="9" s="1"/>
  <c r="L82" i="9" s="1"/>
  <c r="M82" i="9" s="1"/>
  <c r="N82" i="9" s="1"/>
  <c r="I69" i="9"/>
  <c r="J36" i="9"/>
  <c r="J37" i="9"/>
  <c r="L31" i="8"/>
  <c r="L19" i="8"/>
  <c r="L21" i="8"/>
  <c r="N14" i="3"/>
  <c r="M16" i="8"/>
  <c r="E77" i="9" l="1"/>
  <c r="G72" i="9"/>
  <c r="G79" i="9" s="1"/>
  <c r="K21" i="6"/>
  <c r="V13" i="6"/>
  <c r="O13" i="8"/>
  <c r="N17" i="8"/>
  <c r="N41" i="8" s="1"/>
  <c r="O14" i="8"/>
  <c r="O18" i="8" s="1"/>
  <c r="O51" i="8" s="1"/>
  <c r="N18" i="8"/>
  <c r="N51" i="8" s="1"/>
  <c r="N15" i="8"/>
  <c r="N20" i="8" s="1"/>
  <c r="O12" i="8"/>
  <c r="K37" i="9"/>
  <c r="K36" i="9"/>
  <c r="J69" i="9"/>
  <c r="J70" i="9" s="1"/>
  <c r="J72" i="9" s="1"/>
  <c r="L52" i="8"/>
  <c r="L62" i="8" s="1"/>
  <c r="L63" i="8" s="1"/>
  <c r="I70" i="9"/>
  <c r="I72" i="9" s="1"/>
  <c r="I38" i="9"/>
  <c r="M31" i="8"/>
  <c r="M19" i="8"/>
  <c r="M21" i="8"/>
  <c r="O14" i="3"/>
  <c r="N16" i="8"/>
  <c r="V14" i="6" l="1"/>
  <c r="K23" i="6" s="1"/>
  <c r="K22" i="6"/>
  <c r="O16" i="8"/>
  <c r="O31" i="8" s="1"/>
  <c r="O15" i="8"/>
  <c r="O20" i="8" s="1"/>
  <c r="O17" i="8"/>
  <c r="O41" i="8" s="1"/>
  <c r="J38" i="9"/>
  <c r="M52" i="8"/>
  <c r="M62" i="8" s="1"/>
  <c r="M63" i="8" s="1"/>
  <c r="L65" i="8"/>
  <c r="M84" i="9" s="1"/>
  <c r="N84" i="9" s="1"/>
  <c r="K69" i="9"/>
  <c r="L36" i="9"/>
  <c r="L37" i="9"/>
  <c r="I81" i="9"/>
  <c r="J82" i="9"/>
  <c r="N31" i="8"/>
  <c r="N19" i="8"/>
  <c r="N21" i="8"/>
  <c r="O21" i="8" l="1"/>
  <c r="O19" i="8"/>
  <c r="O52" i="8" s="1"/>
  <c r="O62" i="8" s="1"/>
  <c r="O63" i="8" s="1"/>
  <c r="N69" i="9" s="1"/>
  <c r="N70" i="9" s="1"/>
  <c r="N72" i="9" s="1"/>
  <c r="N52" i="8"/>
  <c r="N62" i="8" s="1"/>
  <c r="N63" i="8" s="1"/>
  <c r="N65" i="8" s="1"/>
  <c r="M65" i="8"/>
  <c r="N85" i="9" s="1"/>
  <c r="L69" i="9"/>
  <c r="M36" i="9"/>
  <c r="M37" i="9"/>
  <c r="K70" i="9"/>
  <c r="K72" i="9" s="1"/>
  <c r="K38" i="9"/>
  <c r="N37" i="9" l="1"/>
  <c r="N36" i="9"/>
  <c r="M69" i="9"/>
  <c r="M70" i="9" s="1"/>
  <c r="M72" i="9" s="1"/>
  <c r="N38" i="9"/>
  <c r="N86" i="9"/>
  <c r="K83" i="9"/>
  <c r="L70" i="9"/>
  <c r="L72" i="9" s="1"/>
  <c r="L38" i="9"/>
  <c r="M38" i="9" l="1"/>
  <c r="M85" i="9"/>
  <c r="L84" i="9"/>
  <c r="E13" i="9" l="1"/>
  <c r="E14" i="9"/>
  <c r="E18" i="9"/>
  <c r="E19" i="9"/>
  <c r="E21" i="9"/>
  <c r="E24" i="9"/>
  <c r="E25" i="9"/>
  <c r="E26" i="9"/>
  <c r="E29" i="9"/>
  <c r="E30" i="9"/>
  <c r="E31" i="9"/>
  <c r="E35" i="9"/>
  <c r="F35" i="9"/>
  <c r="G35" i="9"/>
  <c r="H35" i="9"/>
  <c r="I35" i="9"/>
  <c r="J35" i="9"/>
  <c r="K35" i="9"/>
  <c r="L35" i="9"/>
  <c r="M35" i="9"/>
  <c r="N35" i="9"/>
  <c r="E39" i="9"/>
  <c r="F39" i="9"/>
  <c r="G39" i="9"/>
  <c r="H39" i="9"/>
  <c r="I39" i="9"/>
  <c r="J39" i="9"/>
  <c r="K39" i="9"/>
  <c r="L39" i="9"/>
  <c r="M39" i="9"/>
  <c r="N39" i="9"/>
  <c r="E74" i="9"/>
  <c r="E76" i="9"/>
  <c r="F76" i="9"/>
  <c r="G76" i="9"/>
  <c r="H76" i="9"/>
  <c r="I76" i="9"/>
  <c r="J76" i="9"/>
  <c r="K76" i="9"/>
  <c r="L76" i="9"/>
  <c r="M76" i="9"/>
  <c r="N76" i="9"/>
  <c r="E88" i="9"/>
  <c r="F88" i="9"/>
  <c r="G88" i="9"/>
  <c r="H88" i="9"/>
  <c r="I88" i="9"/>
  <c r="J88" i="9"/>
  <c r="K88" i="9"/>
  <c r="L88" i="9"/>
  <c r="M88" i="9"/>
  <c r="N88" i="9"/>
  <c r="E25" i="4"/>
  <c r="E27" i="4"/>
  <c r="E35" i="4"/>
  <c r="E36" i="4"/>
  <c r="E37" i="4"/>
  <c r="H58" i="5"/>
  <c r="I58" i="5"/>
  <c r="H59" i="5"/>
  <c r="I59" i="5"/>
  <c r="H60" i="5"/>
  <c r="I60" i="5"/>
  <c r="H68" i="5"/>
  <c r="I68" i="5"/>
  <c r="H74" i="5"/>
  <c r="I74" i="5"/>
  <c r="H75" i="5"/>
  <c r="I75" i="5"/>
  <c r="H76" i="5"/>
  <c r="I76" i="5"/>
  <c r="E79" i="5"/>
  <c r="E80" i="5"/>
  <c r="G80" i="5"/>
  <c r="E81" i="5"/>
  <c r="G81" i="5"/>
  <c r="G82" i="5"/>
  <c r="Q3" i="6"/>
  <c r="R8" i="6"/>
  <c r="O10" i="6"/>
  <c r="P10" i="6"/>
  <c r="R10" i="6"/>
  <c r="F11" i="6"/>
  <c r="O11" i="6"/>
  <c r="P11" i="6"/>
  <c r="R11" i="6"/>
  <c r="O12" i="6"/>
  <c r="P12" i="6"/>
  <c r="R12" i="6"/>
  <c r="F13" i="6"/>
  <c r="O13" i="6"/>
  <c r="P13" i="6"/>
  <c r="R13" i="6"/>
  <c r="F14" i="6"/>
  <c r="R14" i="6"/>
  <c r="F15" i="6"/>
  <c r="V15" i="6"/>
  <c r="F16" i="6"/>
  <c r="O16" i="6"/>
  <c r="P16" i="6"/>
  <c r="R16" i="6"/>
  <c r="V16" i="6"/>
  <c r="F17" i="6"/>
  <c r="O17" i="6"/>
  <c r="R17" i="6"/>
  <c r="S17" i="6"/>
  <c r="V17" i="6"/>
  <c r="O18" i="6"/>
  <c r="V18" i="6"/>
  <c r="F19" i="6"/>
  <c r="O19" i="6"/>
  <c r="R19" i="6"/>
  <c r="V19" i="6"/>
  <c r="R20" i="6"/>
  <c r="V20" i="6"/>
  <c r="F21" i="6"/>
  <c r="O21" i="6"/>
  <c r="S21" i="6"/>
  <c r="O22" i="6"/>
  <c r="R22" i="6"/>
  <c r="F23" i="6"/>
  <c r="R23" i="6"/>
  <c r="F24" i="6"/>
  <c r="K24" i="6"/>
  <c r="R24" i="6"/>
  <c r="F25" i="6"/>
  <c r="K25" i="6"/>
  <c r="O25" i="6"/>
  <c r="R25" i="6"/>
  <c r="O26" i="6"/>
  <c r="R26" i="6"/>
  <c r="R27" i="6"/>
  <c r="F28" i="6"/>
  <c r="K28" i="6"/>
  <c r="R28" i="6"/>
  <c r="F29" i="6"/>
  <c r="K29" i="6"/>
  <c r="F30" i="6"/>
  <c r="K30" i="6"/>
  <c r="F31" i="6"/>
  <c r="O33" i="6"/>
  <c r="P33" i="6"/>
  <c r="O34" i="6"/>
  <c r="P34" i="6"/>
  <c r="O35" i="6"/>
  <c r="P35" i="6"/>
  <c r="O36" i="6"/>
  <c r="P36" i="6"/>
  <c r="P38" i="6"/>
  <c r="P39" i="6"/>
  <c r="P40" i="6"/>
  <c r="P41" i="6"/>
  <c r="Q3" i="7"/>
  <c r="O10" i="7"/>
  <c r="P10" i="7"/>
  <c r="O11" i="7"/>
  <c r="P11" i="7"/>
  <c r="V11" i="7"/>
  <c r="O12" i="7"/>
  <c r="P12" i="7"/>
  <c r="V12" i="7"/>
  <c r="O13" i="7"/>
  <c r="P13" i="7"/>
  <c r="V13" i="7"/>
  <c r="V14" i="7"/>
  <c r="F15" i="7"/>
  <c r="R15" i="7"/>
  <c r="V15" i="7"/>
  <c r="F16" i="7"/>
  <c r="O16" i="7"/>
  <c r="R16" i="7"/>
  <c r="V16" i="7"/>
  <c r="O17" i="7"/>
  <c r="R17" i="7"/>
  <c r="S17" i="7"/>
  <c r="F18" i="7"/>
  <c r="O18" i="7"/>
  <c r="O19" i="7"/>
  <c r="R19" i="7"/>
  <c r="F20" i="7"/>
  <c r="K20" i="7"/>
  <c r="R20" i="7"/>
  <c r="F21" i="7"/>
  <c r="K21" i="7"/>
  <c r="O21" i="7"/>
  <c r="S21" i="7"/>
  <c r="F22" i="7"/>
  <c r="O22" i="7"/>
  <c r="R22" i="7"/>
  <c r="R23" i="7"/>
  <c r="R24" i="7"/>
  <c r="F25" i="7"/>
  <c r="K25" i="7"/>
  <c r="O25" i="7"/>
  <c r="R25" i="7"/>
  <c r="F26" i="7"/>
  <c r="K26" i="7"/>
  <c r="O26" i="7"/>
  <c r="R26" i="7"/>
  <c r="F27" i="7"/>
  <c r="K27" i="7"/>
  <c r="R27" i="7"/>
  <c r="F28" i="7"/>
  <c r="R28" i="7"/>
  <c r="O33" i="7"/>
  <c r="P33" i="7"/>
  <c r="O34" i="7"/>
  <c r="P34" i="7"/>
  <c r="O35" i="7"/>
  <c r="P35" i="7"/>
  <c r="O36" i="7"/>
  <c r="P36" i="7"/>
  <c r="P38" i="7"/>
  <c r="P39" i="7"/>
  <c r="P40" i="7"/>
  <c r="P41" i="7"/>
</calcChain>
</file>

<file path=xl/sharedStrings.xml><?xml version="1.0" encoding="utf-8"?>
<sst xmlns="http://schemas.openxmlformats.org/spreadsheetml/2006/main" count="515" uniqueCount="305">
  <si>
    <t>Developer/Investor and Lender Input Sheet</t>
  </si>
  <si>
    <t>Developer/Investor Assumptions</t>
  </si>
  <si>
    <t>Target Profit Mark-up on Cost</t>
  </si>
  <si>
    <t>Target Spread Between Market Rent Constant and Cost Rent Constant</t>
  </si>
  <si>
    <t>Construction Loan Assumptions</t>
  </si>
  <si>
    <t>Maximum Loan to Value Ratio</t>
  </si>
  <si>
    <t>Minimum Service Debt Coverage Ratio</t>
  </si>
  <si>
    <t>Minimum Equity Requirement (% of Total Project Cost)</t>
  </si>
  <si>
    <t>Interest Rate</t>
  </si>
  <si>
    <t>Amortization Period</t>
  </si>
  <si>
    <t>Payments Per Year</t>
  </si>
  <si>
    <t>Loan Costs (% of Loan Amount or $ Amount)</t>
  </si>
  <si>
    <t>Construction Loan Amount Used (LTV = 1, DSCR = 2, and Minimum Equity Requirement =3)</t>
  </si>
  <si>
    <t>Permanent Loan Assumptions</t>
  </si>
  <si>
    <t>Minimum Debt Service Coverage Ratio</t>
  </si>
  <si>
    <t>Permanent Loan Amount Used (LTV = 1, and DSCR = 2)</t>
  </si>
  <si>
    <t>Project Assumptions</t>
  </si>
  <si>
    <t>Market Cost of Sale (If sold upon Completion of Construction)</t>
  </si>
  <si>
    <t>Disposition Capitalization Rate used for Cash Flow Forecast</t>
  </si>
  <si>
    <t>Disposition Cost of Sale used for Cash Flow Forecast</t>
  </si>
  <si>
    <t>Development Budget Input Sheet</t>
  </si>
  <si>
    <t>Project Land and Building</t>
  </si>
  <si>
    <t>Category "A" Space Square Feet (GLA)</t>
  </si>
  <si>
    <t>Category "B" Space Square Feet (GLA)</t>
  </si>
  <si>
    <t>Category "C" Space Square Feet (GLA)</t>
  </si>
  <si>
    <t>Land Size (Acres or Total Square Feet)</t>
  </si>
  <si>
    <t>Land Cost</t>
  </si>
  <si>
    <t>Land Purchase Price (Per SF or Total Cost)</t>
  </si>
  <si>
    <t>Closing Costs (% of Cost or $ Amount)</t>
  </si>
  <si>
    <t>Architectural/Engineering/Entitlements</t>
  </si>
  <si>
    <t>Architectural (Includes Reimbursables &amp; Printing Costs)</t>
  </si>
  <si>
    <t>Civil Engineering (Includes Site Planning)</t>
  </si>
  <si>
    <t>Surveys</t>
  </si>
  <si>
    <t>Environmental Site Assessment (ESA)</t>
  </si>
  <si>
    <t>Geotechnical</t>
  </si>
  <si>
    <t>Inspecting Architect/Engineer</t>
  </si>
  <si>
    <t>Landscape Architect</t>
  </si>
  <si>
    <t>Traffic Study</t>
  </si>
  <si>
    <t>Transportation Impact Fees</t>
  </si>
  <si>
    <t>Water Connection Fees</t>
  </si>
  <si>
    <t>Sewer Capacity Fees</t>
  </si>
  <si>
    <t>Permit Fees (Including building permit)</t>
  </si>
  <si>
    <t>Zoning Compliance(Includes legal fees)</t>
  </si>
  <si>
    <t>Misc. Planning/Design</t>
  </si>
  <si>
    <t>Construction Costs</t>
  </si>
  <si>
    <t>Category "A" Space (Per Square Foot)</t>
  </si>
  <si>
    <t>Category "B" Space (Per Square Foot)</t>
  </si>
  <si>
    <t>Category "C" Space (Per Square Foot)</t>
  </si>
  <si>
    <t xml:space="preserve">Tenant Improvements (Per Square Foot) </t>
  </si>
  <si>
    <t>Site Work (Includes Earthwork, Lighting, Site Demo, &amp; Other)</t>
  </si>
  <si>
    <t xml:space="preserve">Demolition </t>
  </si>
  <si>
    <t>Asbestos Abatement</t>
  </si>
  <si>
    <t>Landscaping/Irrigation</t>
  </si>
  <si>
    <t>Signs</t>
  </si>
  <si>
    <t>Construction Materials Testing</t>
  </si>
  <si>
    <t>Utility Fees</t>
  </si>
  <si>
    <t>Builder's Risk</t>
  </si>
  <si>
    <t>Performance Bond &amp; Payment Bond</t>
  </si>
  <si>
    <t>Financing/Carry</t>
  </si>
  <si>
    <t>Construction Facility Fee (% of Total Project Cost or $ Amount)</t>
  </si>
  <si>
    <t>Construction Loan Costs (% of Loan Amount or $ Amount)</t>
  </si>
  <si>
    <t>First Construction Draw Average Outstanding Balance Over Construction Period (%)</t>
  </si>
  <si>
    <t>Remainder of Construction Loan Average Outstanding Balance Over Construction Period (%)</t>
  </si>
  <si>
    <t>Construction Period (Months)</t>
  </si>
  <si>
    <t>Legal Fees (Includes lease negotiation)</t>
  </si>
  <si>
    <t>Construction Period Taxes &amp; Insurance</t>
  </si>
  <si>
    <t>Leasing Commissions (Category "A" Space) (Per Square Foot or $ Amount)</t>
  </si>
  <si>
    <t>Leasing Commissions (Category "B" Space) (Per Square Foot or $ Amount)</t>
  </si>
  <si>
    <t>Leasing Commissions (Category "C" Space) (Per Square Foot or $ Amount)</t>
  </si>
  <si>
    <t>Title Policy</t>
  </si>
  <si>
    <t>Appraisal</t>
  </si>
  <si>
    <t>Other Soft Costs and Miscellaneous</t>
  </si>
  <si>
    <t xml:space="preserve">Contingency </t>
  </si>
  <si>
    <t>Developer Overhead Fee</t>
  </si>
  <si>
    <t>Income and Expense Input Sheet</t>
  </si>
  <si>
    <t>End of Year</t>
  </si>
  <si>
    <t>Income, Vacancies, and Escalations</t>
  </si>
  <si>
    <t>Category "A" Space (SF)</t>
  </si>
  <si>
    <t>Category "A" Space (Rent PSF &amp; Annual Escalation)</t>
  </si>
  <si>
    <t>Category "A" Space Vacancy Rate</t>
  </si>
  <si>
    <t>Category "B" Space (SF)</t>
  </si>
  <si>
    <t>Category "B" Space (Rent PSF &amp; Annual Escalation)</t>
  </si>
  <si>
    <t>Category "B" Space Vacancy Rate</t>
  </si>
  <si>
    <t>Category "C" Space (SF)</t>
  </si>
  <si>
    <t>Category "C" Space (Rent PSF &amp; Annual Escalation)</t>
  </si>
  <si>
    <t>Category "C" Space Vacancy Rate</t>
  </si>
  <si>
    <t>Total Operating Expenses</t>
  </si>
  <si>
    <t>Real Estate Taxes (Per Square Foot)</t>
  </si>
  <si>
    <t>Insurance (Per Square Foot)</t>
  </si>
  <si>
    <t>Building Maintenance (Per Square Foot)</t>
  </si>
  <si>
    <t>Common Area Utilities (Per Square Foot)</t>
  </si>
  <si>
    <t>Common Area Maintenance (Per Square Foot)</t>
  </si>
  <si>
    <t>Reserve for Replacements (Per Square Foot)</t>
  </si>
  <si>
    <t>Property Management( % of Collected Income)</t>
  </si>
  <si>
    <t>Operating Expense Pass-thrus</t>
  </si>
  <si>
    <t>Category "A" Space</t>
  </si>
  <si>
    <t>Category "B" Space</t>
  </si>
  <si>
    <t>Category "C" Space</t>
  </si>
  <si>
    <t>Project Summary</t>
  </si>
  <si>
    <t xml:space="preserve">     Target Profit Mark-up on Cost</t>
  </si>
  <si>
    <t xml:space="preserve">     Target Spread Between Market Capitalization Rate and Cost Capitalization Rate</t>
  </si>
  <si>
    <t>Project Size</t>
  </si>
  <si>
    <t xml:space="preserve">     Category "A" Space (Square Feet)</t>
  </si>
  <si>
    <t xml:space="preserve">     Category "B" Space (Square Feet)</t>
  </si>
  <si>
    <t xml:space="preserve">     Category "C" Space (Square Feet)</t>
  </si>
  <si>
    <t xml:space="preserve">     Total Building Space (Square Feet)</t>
  </si>
  <si>
    <t xml:space="preserve">     Total Land Size (Square Feet)</t>
  </si>
  <si>
    <t>Project Cost</t>
  </si>
  <si>
    <t xml:space="preserve">     Land Cost</t>
  </si>
  <si>
    <t xml:space="preserve">     Architectural/Engineering/Entitlements</t>
  </si>
  <si>
    <t xml:space="preserve">     Construction Costs</t>
  </si>
  <si>
    <t xml:space="preserve">     Financing/Carry</t>
  </si>
  <si>
    <t xml:space="preserve">     Other Soft Costs and Miscellaneous</t>
  </si>
  <si>
    <t xml:space="preserve">  Total Project Cost</t>
  </si>
  <si>
    <t xml:space="preserve">  Indicated Value (Rounded to Nearest $1,000)</t>
  </si>
  <si>
    <t>Financing</t>
  </si>
  <si>
    <t xml:space="preserve">  Construction Loan</t>
  </si>
  <si>
    <t xml:space="preserve">     Loan Amount Using Loan to Value</t>
  </si>
  <si>
    <t xml:space="preserve">     Loan Amount Using Debt Service Coverage Ratio</t>
  </si>
  <si>
    <t xml:space="preserve">     Loan Amount using Minimum Equity Requirement</t>
  </si>
  <si>
    <t xml:space="preserve">  Construction Loan Amount Used for Analysis (Rounded Down to Nearest $1,000)</t>
  </si>
  <si>
    <t xml:space="preserve">  Construction Loan Costs</t>
  </si>
  <si>
    <t xml:space="preserve">  Construction Loan Annual Mortgage Constant</t>
  </si>
  <si>
    <t xml:space="preserve">  Permanent Loan</t>
  </si>
  <si>
    <t xml:space="preserve">  Permanent Loan Amount Used for Cash Flow Projection (Rounded Down to Nearest $1,000)</t>
  </si>
  <si>
    <t xml:space="preserve">  Permanent Loan Costs</t>
  </si>
  <si>
    <t xml:space="preserve">  Permanent Loan Annual Mortgage Constant</t>
  </si>
  <si>
    <t>Total Project Budget</t>
  </si>
  <si>
    <t>Category "A" Space Square Feet</t>
  </si>
  <si>
    <t>Category "B" Space Square Feet</t>
  </si>
  <si>
    <t>Category "C" Space Square Feet</t>
  </si>
  <si>
    <t>Total Building Square Feet</t>
  </si>
  <si>
    <t>Land Size Square Feet</t>
  </si>
  <si>
    <t>Acres or SF</t>
  </si>
  <si>
    <t>Total Component Cost and Component Cost PSF (GLA)</t>
  </si>
  <si>
    <t>Land Costs</t>
  </si>
  <si>
    <t>$/sf</t>
  </si>
  <si>
    <t>Land Purchase Price (Per Square Foot or Total $ Amount).</t>
  </si>
  <si>
    <t>Per SF or Total $ Amount</t>
  </si>
  <si>
    <t>Closing Costs</t>
  </si>
  <si>
    <t xml:space="preserve">Subtotal Land Cost </t>
  </si>
  <si>
    <t>Subtotal Architectural/Engineering/Entitlements</t>
  </si>
  <si>
    <t>/SF</t>
  </si>
  <si>
    <t xml:space="preserve">Tenant Improvements </t>
  </si>
  <si>
    <t>Site Work (Includes Earthwork, Lighting, Site Demo, and Other)</t>
  </si>
  <si>
    <t>Demolition (Building only)</t>
  </si>
  <si>
    <t>Subtotal Construction Costs</t>
  </si>
  <si>
    <t>Construction Facility Fee</t>
  </si>
  <si>
    <t>Construction Loan Costs</t>
  </si>
  <si>
    <t>Construction Period Interest</t>
  </si>
  <si>
    <t>Leasing Commissions Per Square Foot (Category "A" Space)</t>
  </si>
  <si>
    <t>Leasing Commissions Per Square Foot (Category "B" Space)</t>
  </si>
  <si>
    <t>Leasing Commissions Per Square Foot (Category "C" Space)</t>
  </si>
  <si>
    <t>Subtotal Financing/Carry</t>
  </si>
  <si>
    <t>Other Soft Costs &amp; Miscellaneous</t>
  </si>
  <si>
    <t>Subtotal Other Soft Costs &amp; Miscellaneous</t>
  </si>
  <si>
    <t>TOTAL PROJECT COSTS:</t>
  </si>
  <si>
    <t>LESS:  CONSTRUCTION LOAN</t>
  </si>
  <si>
    <t>EQUITY REQUIRED</t>
  </si>
  <si>
    <t>Interest Calculations</t>
  </si>
  <si>
    <t>Interest</t>
  </si>
  <si>
    <t>Equity Required</t>
  </si>
  <si>
    <t>Construction Loan Draw Applied to Land Costs and A/E/E</t>
  </si>
  <si>
    <t>Balance of Construction Loan</t>
  </si>
  <si>
    <t>Construction Loan Interest Rate</t>
  </si>
  <si>
    <t>Cost Mark-up Feasibility</t>
  </si>
  <si>
    <t>"Front Door Approach"</t>
  </si>
  <si>
    <t>"Back Door Approach"</t>
  </si>
  <si>
    <t>Total Project Cost</t>
  </si>
  <si>
    <t>Potential Rental Income</t>
  </si>
  <si>
    <t>x</t>
  </si>
  <si>
    <t>Target Mark-up</t>
  </si>
  <si>
    <t>-</t>
  </si>
  <si>
    <t>Vacancy and Credit Losses</t>
  </si>
  <si>
    <t>=</t>
  </si>
  <si>
    <t>Required Profit</t>
  </si>
  <si>
    <t>Effective Rental Income</t>
  </si>
  <si>
    <t>+</t>
  </si>
  <si>
    <t>Collected Pass-thrus</t>
  </si>
  <si>
    <t>Required Net Value</t>
  </si>
  <si>
    <t>Gross Operating Income</t>
  </si>
  <si>
    <t>Cost of Sale</t>
  </si>
  <si>
    <t>Operating Expenses</t>
  </si>
  <si>
    <t>Required Total Value</t>
  </si>
  <si>
    <t>Net Operating Income</t>
  </si>
  <si>
    <t>Market Capitalization Rate</t>
  </si>
  <si>
    <t>÷</t>
  </si>
  <si>
    <t>Required NOI</t>
  </si>
  <si>
    <t>Total Value</t>
  </si>
  <si>
    <t>Net Value</t>
  </si>
  <si>
    <t>Collected Pass-Thrus</t>
  </si>
  <si>
    <t>Profit</t>
  </si>
  <si>
    <t>Justified Total Cost</t>
  </si>
  <si>
    <t>All Costs Except Land</t>
  </si>
  <si>
    <t>Minimum Rents Per Square Foot Needed to Achieve Target</t>
  </si>
  <si>
    <t>Justified Land Cost Breakdown</t>
  </si>
  <si>
    <t>Weighted Average Rent Per Square Foot</t>
  </si>
  <si>
    <t>Category "A" Space Rent Per Square Foot</t>
  </si>
  <si>
    <t>Category "B" Space Rent Per Square Foot</t>
  </si>
  <si>
    <t>Category "C" Space Rent Per Square Foot</t>
  </si>
  <si>
    <t>Rent Constant Feasibility</t>
  </si>
  <si>
    <t>Market Rent Constant</t>
  </si>
  <si>
    <t>Cost of Sale Adjustment</t>
  </si>
  <si>
    <t>Rent Constant Spread</t>
  </si>
  <si>
    <t>Cost Rent Constant</t>
  </si>
  <si>
    <t>Annual Cash Flow Projection</t>
  </si>
  <si>
    <t>Total Potential Rental Income</t>
  </si>
  <si>
    <t>Category "A" Space Vacancy</t>
  </si>
  <si>
    <t>Category "B" Space Vacancy</t>
  </si>
  <si>
    <t>Category "C" Space Vacancy</t>
  </si>
  <si>
    <t>Weighted Average RSF</t>
  </si>
  <si>
    <t>Weighted Average Vacancy Rate</t>
  </si>
  <si>
    <t>Category "A" Space Pass-thrus</t>
  </si>
  <si>
    <t>Real Estate Taxes</t>
  </si>
  <si>
    <t>Insurance</t>
  </si>
  <si>
    <t>Building Maintenance</t>
  </si>
  <si>
    <t>Common Area Utilities</t>
  </si>
  <si>
    <t>Common Area Maintenance</t>
  </si>
  <si>
    <t>Reserve for Replacements</t>
  </si>
  <si>
    <t>Property Management</t>
  </si>
  <si>
    <t>Category "B" Space Pass-thrus</t>
  </si>
  <si>
    <t>Category "C" Space Pass-thrus</t>
  </si>
  <si>
    <t>Less:  Annual Debt Service</t>
  </si>
  <si>
    <t>Cash Flow Before Taxes</t>
  </si>
  <si>
    <t>Sale Proceeds and Measures of Investment Performance</t>
  </si>
  <si>
    <t>Sale Proceeds</t>
  </si>
  <si>
    <t>Sale Price</t>
  </si>
  <si>
    <t>Less:  Cost of Sale</t>
  </si>
  <si>
    <t>Less:  Construction Loan</t>
  </si>
  <si>
    <t>Sale Proceeds Before Tax</t>
  </si>
  <si>
    <t>Loan Proceeds</t>
  </si>
  <si>
    <t>New Loan</t>
  </si>
  <si>
    <t>Less:  Old Loan</t>
  </si>
  <si>
    <t>Gross Loan Proceeds</t>
  </si>
  <si>
    <t>Less:  Loan Costs</t>
  </si>
  <si>
    <t>Net loan Proceeds</t>
  </si>
  <si>
    <t>Investment Base</t>
  </si>
  <si>
    <t>Less:  Net Loan Proceeds</t>
  </si>
  <si>
    <t>Financial Feasibility Measures</t>
  </si>
  <si>
    <t>Pro Forma Profit</t>
  </si>
  <si>
    <t>Net Profit Mark-up on Cost</t>
  </si>
  <si>
    <t>Net Rent Constant Spread</t>
  </si>
  <si>
    <t>Performance Based on Hold and Refinance</t>
  </si>
  <si>
    <t>Cash on Cash (Investment Base)</t>
  </si>
  <si>
    <t>Return on Asset</t>
  </si>
  <si>
    <t>Debt Service Coverage Ratio</t>
  </si>
  <si>
    <t>Loan to Value</t>
  </si>
  <si>
    <t>Internal Rate of Return (Investment Base)</t>
  </si>
  <si>
    <t>Sale Price (Rounded)</t>
  </si>
  <si>
    <t>Less:  Mortgage</t>
  </si>
  <si>
    <t>Avg. Balance</t>
  </si>
  <si>
    <t>Total $</t>
  </si>
  <si>
    <t>License</t>
  </si>
  <si>
    <t>Model Resources</t>
  </si>
  <si>
    <t>Last Updated:</t>
  </si>
  <si>
    <t>Updated By:</t>
  </si>
  <si>
    <t>Contact:</t>
  </si>
  <si>
    <t>Version:</t>
  </si>
  <si>
    <t>Compatibility</t>
  </si>
  <si>
    <t>Excel 2013</t>
  </si>
  <si>
    <t>Excel 2016</t>
  </si>
  <si>
    <t>Excel 365</t>
  </si>
  <si>
    <t>Excel 365 IOS for iPad &amp; iPhone</t>
  </si>
  <si>
    <t>LICENSE</t>
  </si>
  <si>
    <t xml:space="preserve">This file was developed for the CCIM Institute, which holds copyright to the CCIM Business Forms Templates.  The authority granted to you to use this file and the Templates included permit use only in the regular course of doing business, including giving copies of reports generated by the Templates to clients, their agents and consultants.  Your authority to use the Templates expressly excludes any right to sell, rent or otherwise use the Templates for the purpose of deriving a source of income.
These CCIM Business Forms Templates are made available for use on an ‘as-is’ basis.  Use of the Templates constitutes the user’s waiver of any and all claims against the Institute and the author that may arise as a result of such use, including without limitation reliance on any conclusion indicated by the Template or any report generated by the Template, even if the Template is defective.  All warranties, express or implied, are hereby disclaimed, including but not limited to any regarding the suitability of the Template for any application.
All use of the Templates must include the following notice:
</t>
  </si>
  <si>
    <t>Page 1</t>
  </si>
  <si>
    <t>Table of Contents</t>
  </si>
  <si>
    <t>Sheet Number</t>
  </si>
  <si>
    <t>Sheet Description</t>
  </si>
  <si>
    <t>Tab Label</t>
  </si>
  <si>
    <t>Compatibility and License</t>
  </si>
  <si>
    <t>(1) Tbl.Cnts</t>
  </si>
  <si>
    <t>Annual Income and Expense Input Sheet</t>
  </si>
  <si>
    <t>Development Budget</t>
  </si>
  <si>
    <t>Cost Mark Up Financial Feasibility-Front and Back Door Approach</t>
  </si>
  <si>
    <t>Rent Constant Financial Feasibility-Front and Back Door Approach</t>
  </si>
  <si>
    <t>Sale Proceeds and Performance Ratios</t>
  </si>
  <si>
    <t>(1)</t>
  </si>
  <si>
    <t>(2) Dev.-Inv. &amp; Lender Input</t>
  </si>
  <si>
    <t>(3) Development Budget Input</t>
  </si>
  <si>
    <t>(4) Income &amp; Expense Input</t>
  </si>
  <si>
    <t>(5) Project Summary</t>
  </si>
  <si>
    <t>(6) Development Budget</t>
  </si>
  <si>
    <t>(7) Cost Mark-up Feasibility</t>
  </si>
  <si>
    <t>(8) Rent Constant Feasibility</t>
  </si>
  <si>
    <t>(9) Annual Cash Flow Projection</t>
  </si>
  <si>
    <t>(10) Sale Proceeds-Ratios</t>
  </si>
  <si>
    <t>Market Cap Rate (Used by Lender for LTV and by Buyer if Bought upon Completion of Construction)</t>
  </si>
  <si>
    <t>Dev., Inv., &amp; Lender Input Sheet</t>
  </si>
  <si>
    <t>Income &amp; Expense Input Sheet</t>
  </si>
  <si>
    <t>Justified Land Cost (Including Acq. Costs)</t>
  </si>
  <si>
    <t>Justified Land Cost (including Acq. Costs)</t>
  </si>
  <si>
    <t>Cost Mark-Up Feasibility</t>
  </si>
  <si>
    <t>Rent Control Feasibility</t>
  </si>
  <si>
    <t>Sale Proceeds-Ratios</t>
  </si>
  <si>
    <t>Version 9.0</t>
  </si>
  <si>
    <t>Clear Inputs Instructions</t>
  </si>
  <si>
    <t>Developer/Investor &amp; Lender Inputs</t>
  </si>
  <si>
    <r>
      <t>Step 2: Hit the [</t>
    </r>
    <r>
      <rPr>
        <b/>
        <sz val="9"/>
        <color theme="1"/>
        <rFont val="Arial"/>
        <family val="2"/>
      </rPr>
      <t>Delete</t>
    </r>
    <r>
      <rPr>
        <sz val="9"/>
        <color theme="1"/>
        <rFont val="Arial"/>
        <family val="2"/>
      </rPr>
      <t xml:space="preserve">] Button on Your Keyboard </t>
    </r>
  </si>
  <si>
    <r>
      <t>Step 1: Click [</t>
    </r>
    <r>
      <rPr>
        <b/>
        <sz val="9"/>
        <color theme="1"/>
        <rFont val="Arial"/>
        <family val="2"/>
      </rPr>
      <t>Select Inputs</t>
    </r>
    <r>
      <rPr>
        <sz val="9"/>
        <color theme="1"/>
        <rFont val="Arial"/>
        <family val="2"/>
      </rPr>
      <t>] to the Left</t>
    </r>
  </si>
  <si>
    <t>Per Square Foot (Including Acq. Costs)</t>
  </si>
  <si>
    <t>Per Acre (Including Acq. Costs)</t>
  </si>
  <si>
    <t>Total Cost (Including Acq. Costs)</t>
  </si>
  <si>
    <t>CCIM Institute</t>
  </si>
  <si>
    <t>courseinfo@ccim.com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</si>
</sst>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mmmm\ dd\,\ yyyy"/>
    <numFmt numFmtId="168" formatCode="&quot;(&quot;0&quot;)&quot;"/>
    <numFmt numFmtId="169" formatCode="&quot;Page &quot;0"/>
  </numFmts>
  <fonts count="22" x14ac:knownFonts="1">
    <font>
      <sz val="11"/>
      <color theme="1"/>
      <name val="Aptos Narrow"/>
      <family val="2"/>
      <scheme val="minor"/>
    </font>
    <font>
      <sz val="12"/>
      <color theme="1"/>
      <name val="Arial"/>
      <family val="2"/>
    </font>
    <font>
      <sz val="11"/>
      <color theme="1"/>
      <name val="Aptos Narrow"/>
      <family val="2"/>
      <scheme val="minor"/>
    </font>
    <font>
      <sz val="11"/>
      <color theme="1"/>
      <name val="Arial"/>
      <family val="2"/>
    </font>
    <font>
      <sz val="11"/>
      <color rgb="FF0000FF"/>
      <name val="Arial"/>
      <family val="2"/>
    </font>
    <font>
      <sz val="24"/>
      <color theme="1"/>
      <name val="Arial"/>
      <family val="2"/>
    </font>
    <font>
      <b/>
      <sz val="11"/>
      <color theme="1"/>
      <name val="Arial"/>
      <family val="2"/>
    </font>
    <font>
      <b/>
      <sz val="12"/>
      <color theme="0"/>
      <name val="Arial"/>
      <family val="2"/>
    </font>
    <font>
      <b/>
      <sz val="12"/>
      <color theme="1"/>
      <name val="Arial"/>
      <family val="2"/>
    </font>
    <font>
      <sz val="12"/>
      <color theme="0"/>
      <name val="Arial"/>
      <family val="2"/>
    </font>
    <font>
      <sz val="10"/>
      <color theme="1"/>
      <name val="Franklin Gothic Book"/>
      <family val="2"/>
    </font>
    <font>
      <sz val="36"/>
      <color theme="1"/>
      <name val="Arial"/>
      <family val="2"/>
    </font>
    <font>
      <i/>
      <sz val="26"/>
      <color theme="1"/>
      <name val="Arial"/>
      <family val="2"/>
    </font>
    <font>
      <sz val="12"/>
      <name val="Arial"/>
      <family val="2"/>
    </font>
    <font>
      <sz val="18"/>
      <name val="Arial"/>
      <family val="2"/>
    </font>
    <font>
      <u/>
      <sz val="11"/>
      <color theme="10"/>
      <name val="Aptos Narrow"/>
      <family val="2"/>
      <scheme val="minor"/>
    </font>
    <font>
      <i/>
      <u val="doubleAccounting"/>
      <sz val="18"/>
      <color theme="1"/>
      <name val="Arial"/>
      <family val="2"/>
    </font>
    <font>
      <u/>
      <sz val="10"/>
      <color theme="10"/>
      <name val="Franklin Gothic Book"/>
      <family val="2"/>
    </font>
    <font>
      <u/>
      <sz val="12"/>
      <color theme="10"/>
      <name val="Arial"/>
      <family val="2"/>
    </font>
    <font>
      <b/>
      <u/>
      <sz val="9"/>
      <color theme="1"/>
      <name val="Arial"/>
      <family val="2"/>
    </font>
    <font>
      <sz val="9"/>
      <color theme="1"/>
      <name val="Arial"/>
      <family val="2"/>
    </font>
    <font>
      <b/>
      <sz val="9"/>
      <color theme="1"/>
      <name val="Arial"/>
      <family val="2"/>
    </font>
  </fonts>
  <fills count="8">
    <fill>
      <patternFill patternType="none"/>
    </fill>
    <fill>
      <patternFill patternType="gray125"/>
    </fill>
    <fill>
      <patternFill patternType="solid">
        <fgColor rgb="FFFFFFCC"/>
        <bgColor indexed="64"/>
      </patternFill>
    </fill>
    <fill>
      <patternFill patternType="solid">
        <fgColor rgb="FFD9E1F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800000"/>
        <bgColor indexed="64"/>
      </patternFill>
    </fill>
    <fill>
      <patternFill patternType="solid">
        <fgColor rgb="FFFFFF00"/>
        <bgColor indexed="64"/>
      </patternFill>
    </fill>
  </fills>
  <borders count="45">
    <border>
      <left/>
      <right/>
      <top/>
      <bottom/>
      <diagonal/>
    </border>
    <border>
      <left style="thin">
        <color rgb="FF632523"/>
      </left>
      <right/>
      <top style="thin">
        <color rgb="FF632523"/>
      </top>
      <bottom style="thin">
        <color rgb="FF632523"/>
      </bottom>
      <diagonal/>
    </border>
    <border>
      <left/>
      <right/>
      <top style="thin">
        <color rgb="FF632523"/>
      </top>
      <bottom style="thin">
        <color rgb="FF632523"/>
      </bottom>
      <diagonal/>
    </border>
    <border>
      <left/>
      <right style="thin">
        <color rgb="FF632523"/>
      </right>
      <top style="thin">
        <color rgb="FF632523"/>
      </top>
      <bottom style="thin">
        <color rgb="FF632523"/>
      </bottom>
      <diagonal/>
    </border>
    <border>
      <left style="thin">
        <color rgb="FF632523"/>
      </left>
      <right style="thin">
        <color rgb="FF632523"/>
      </right>
      <top style="thin">
        <color rgb="FF632523"/>
      </top>
      <bottom style="thin">
        <color rgb="FF632523"/>
      </bottom>
      <diagonal/>
    </border>
    <border>
      <left style="thin">
        <color rgb="FF632523"/>
      </left>
      <right style="thin">
        <color rgb="FF632523"/>
      </right>
      <top style="thin">
        <color rgb="FF632523"/>
      </top>
      <bottom style="dotted">
        <color rgb="FF632523"/>
      </bottom>
      <diagonal/>
    </border>
    <border>
      <left style="thin">
        <color rgb="FF632523"/>
      </left>
      <right style="thin">
        <color rgb="FF632523"/>
      </right>
      <top style="dotted">
        <color rgb="FF632523"/>
      </top>
      <bottom style="thin">
        <color rgb="FF632523"/>
      </bottom>
      <diagonal/>
    </border>
    <border>
      <left style="thin">
        <color rgb="FF632523"/>
      </left>
      <right style="thin">
        <color rgb="FF632523"/>
      </right>
      <top style="dotted">
        <color rgb="FF632523"/>
      </top>
      <bottom style="dotted">
        <color rgb="FF632523"/>
      </bottom>
      <diagonal/>
    </border>
    <border>
      <left style="thin">
        <color rgb="FF632523"/>
      </left>
      <right/>
      <top style="thin">
        <color rgb="FF632523"/>
      </top>
      <bottom style="dotted">
        <color rgb="FF632523"/>
      </bottom>
      <diagonal/>
    </border>
    <border>
      <left/>
      <right style="thin">
        <color rgb="FF632523"/>
      </right>
      <top style="thin">
        <color rgb="FF632523"/>
      </top>
      <bottom style="dotted">
        <color rgb="FF632523"/>
      </bottom>
      <diagonal/>
    </border>
    <border>
      <left style="thin">
        <color rgb="FF632523"/>
      </left>
      <right/>
      <top style="dotted">
        <color rgb="FF632523"/>
      </top>
      <bottom style="thin">
        <color rgb="FF632523"/>
      </bottom>
      <diagonal/>
    </border>
    <border>
      <left/>
      <right style="thin">
        <color rgb="FF632523"/>
      </right>
      <top style="dotted">
        <color rgb="FF632523"/>
      </top>
      <bottom style="thin">
        <color rgb="FF632523"/>
      </bottom>
      <diagonal/>
    </border>
    <border>
      <left style="thin">
        <color rgb="FF632523"/>
      </left>
      <right/>
      <top style="dotted">
        <color rgb="FF632523"/>
      </top>
      <bottom style="dotted">
        <color rgb="FF632523"/>
      </bottom>
      <diagonal/>
    </border>
    <border>
      <left/>
      <right style="thin">
        <color rgb="FF632523"/>
      </right>
      <top style="dotted">
        <color rgb="FF632523"/>
      </top>
      <bottom style="dotted">
        <color rgb="FF632523"/>
      </bottom>
      <diagonal/>
    </border>
    <border>
      <left style="thin">
        <color rgb="FF632523"/>
      </left>
      <right style="thin">
        <color rgb="FF632523"/>
      </right>
      <top style="thin">
        <color rgb="FF632523"/>
      </top>
      <bottom/>
      <diagonal/>
    </border>
    <border>
      <left/>
      <right/>
      <top/>
      <bottom style="thin">
        <color rgb="FF632523"/>
      </bottom>
      <diagonal/>
    </border>
    <border>
      <left/>
      <right/>
      <top style="thin">
        <color rgb="FF632523"/>
      </top>
      <bottom/>
      <diagonal/>
    </border>
    <border>
      <left/>
      <right style="thin">
        <color rgb="FF632523"/>
      </right>
      <top style="thin">
        <color rgb="FF632523"/>
      </top>
      <bottom/>
      <diagonal/>
    </border>
    <border>
      <left style="thin">
        <color rgb="FF632523"/>
      </left>
      <right/>
      <top style="thin">
        <color rgb="FF632523"/>
      </top>
      <bottom/>
      <diagonal/>
    </border>
    <border>
      <left/>
      <right/>
      <top style="thin">
        <color rgb="FF632523"/>
      </top>
      <bottom style="dotted">
        <color rgb="FF632523"/>
      </bottom>
      <diagonal/>
    </border>
    <border>
      <left/>
      <right/>
      <top style="dotted">
        <color rgb="FF632523"/>
      </top>
      <bottom style="dotted">
        <color rgb="FF632523"/>
      </bottom>
      <diagonal/>
    </border>
    <border>
      <left/>
      <right/>
      <top style="dotted">
        <color rgb="FF632523"/>
      </top>
      <bottom style="thin">
        <color rgb="FF632523"/>
      </bottom>
      <diagonal/>
    </border>
    <border>
      <left style="thick">
        <color rgb="FF800000"/>
      </left>
      <right/>
      <top style="thick">
        <color rgb="FF800000"/>
      </top>
      <bottom/>
      <diagonal/>
    </border>
    <border>
      <left/>
      <right/>
      <top style="thick">
        <color rgb="FF800000"/>
      </top>
      <bottom/>
      <diagonal/>
    </border>
    <border>
      <left/>
      <right style="thick">
        <color rgb="FF800000"/>
      </right>
      <top style="thick">
        <color rgb="FF800000"/>
      </top>
      <bottom/>
      <diagonal/>
    </border>
    <border>
      <left style="thick">
        <color rgb="FF800000"/>
      </left>
      <right/>
      <top/>
      <bottom/>
      <diagonal/>
    </border>
    <border>
      <left/>
      <right style="thick">
        <color rgb="FF800000"/>
      </right>
      <top/>
      <bottom/>
      <diagonal/>
    </border>
    <border>
      <left style="thick">
        <color rgb="FF800000"/>
      </left>
      <right/>
      <top/>
      <bottom style="thick">
        <color rgb="FF800000"/>
      </bottom>
      <diagonal/>
    </border>
    <border>
      <left/>
      <right/>
      <top/>
      <bottom style="thick">
        <color rgb="FF800000"/>
      </bottom>
      <diagonal/>
    </border>
    <border>
      <left/>
      <right style="thick">
        <color rgb="FF800000"/>
      </right>
      <top/>
      <bottom style="thick">
        <color rgb="FF800000"/>
      </bottom>
      <diagonal/>
    </border>
    <border>
      <left style="thin">
        <color rgb="FF800000"/>
      </left>
      <right/>
      <top style="thin">
        <color rgb="FF800000"/>
      </top>
      <bottom style="thin">
        <color rgb="FF800000"/>
      </bottom>
      <diagonal/>
    </border>
    <border>
      <left/>
      <right style="thin">
        <color rgb="FF800000"/>
      </right>
      <top style="thin">
        <color rgb="FF800000"/>
      </top>
      <bottom style="thin">
        <color rgb="FF800000"/>
      </bottom>
      <diagonal/>
    </border>
    <border>
      <left style="thin">
        <color rgb="FF800000"/>
      </left>
      <right style="thin">
        <color rgb="FF800000"/>
      </right>
      <top style="thin">
        <color rgb="FF800000"/>
      </top>
      <bottom style="dotted">
        <color rgb="FF800000"/>
      </bottom>
      <diagonal/>
    </border>
    <border>
      <left style="thin">
        <color rgb="FF800000"/>
      </left>
      <right style="thin">
        <color rgb="FF800000"/>
      </right>
      <top style="dotted">
        <color rgb="FF800000"/>
      </top>
      <bottom style="dotted">
        <color rgb="FF800000"/>
      </bottom>
      <diagonal/>
    </border>
    <border>
      <left style="thin">
        <color rgb="FF800000"/>
      </left>
      <right style="thin">
        <color rgb="FF800000"/>
      </right>
      <top style="dotted">
        <color rgb="FF800000"/>
      </top>
      <bottom style="thin">
        <color rgb="FF800000"/>
      </bottom>
      <diagonal/>
    </border>
    <border>
      <left style="medium">
        <color rgb="FF800000"/>
      </left>
      <right/>
      <top style="medium">
        <color rgb="FF800000"/>
      </top>
      <bottom/>
      <diagonal/>
    </border>
    <border>
      <left/>
      <right/>
      <top style="medium">
        <color rgb="FF800000"/>
      </top>
      <bottom/>
      <diagonal/>
    </border>
    <border>
      <left/>
      <right style="medium">
        <color rgb="FF800000"/>
      </right>
      <top style="medium">
        <color rgb="FF800000"/>
      </top>
      <bottom/>
      <diagonal/>
    </border>
    <border>
      <left style="medium">
        <color rgb="FF800000"/>
      </left>
      <right/>
      <top/>
      <bottom/>
      <diagonal/>
    </border>
    <border>
      <left/>
      <right style="medium">
        <color rgb="FF800000"/>
      </right>
      <top/>
      <bottom/>
      <diagonal/>
    </border>
    <border>
      <left style="medium">
        <color rgb="FF800000"/>
      </left>
      <right/>
      <top/>
      <bottom style="medium">
        <color rgb="FF800000"/>
      </bottom>
      <diagonal/>
    </border>
    <border>
      <left/>
      <right/>
      <top/>
      <bottom style="medium">
        <color rgb="FF800000"/>
      </bottom>
      <diagonal/>
    </border>
    <border>
      <left/>
      <right style="medium">
        <color rgb="FF800000"/>
      </right>
      <top/>
      <bottom style="medium">
        <color rgb="FF800000"/>
      </bottom>
      <diagonal/>
    </border>
    <border>
      <left style="thin">
        <color rgb="FF632523"/>
      </left>
      <right/>
      <top/>
      <bottom style="dotted">
        <color rgb="FF632523"/>
      </bottom>
      <diagonal/>
    </border>
    <border>
      <left/>
      <right style="thin">
        <color rgb="FF632523"/>
      </right>
      <top/>
      <bottom style="dotted">
        <color rgb="FF632523"/>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xf numFmtId="0" fontId="15" fillId="0" borderId="0" applyNumberFormat="0" applyFill="0" applyBorder="0" applyAlignment="0" applyProtection="0"/>
    <xf numFmtId="0" fontId="17" fillId="0" borderId="0" applyNumberFormat="0" applyFill="0" applyBorder="0" applyAlignment="0" applyProtection="0"/>
  </cellStyleXfs>
  <cellXfs count="245">
    <xf numFmtId="0" fontId="0" fillId="0" borderId="0" xfId="0"/>
    <xf numFmtId="0" fontId="3" fillId="0" borderId="0" xfId="0" applyFont="1"/>
    <xf numFmtId="44" fontId="3" fillId="0" borderId="0" xfId="0" applyNumberFormat="1" applyFont="1"/>
    <xf numFmtId="10" fontId="3" fillId="0" borderId="0" xfId="0" applyNumberFormat="1" applyFont="1"/>
    <xf numFmtId="5" fontId="3" fillId="0" borderId="0" xfId="0" applyNumberFormat="1" applyFont="1"/>
    <xf numFmtId="164" fontId="3" fillId="0" borderId="0" xfId="0" applyNumberFormat="1" applyFont="1"/>
    <xf numFmtId="0" fontId="3" fillId="0" borderId="0" xfId="0" applyFont="1" applyAlignment="1">
      <alignment horizontal="center"/>
    </xf>
    <xf numFmtId="0" fontId="3" fillId="3" borderId="8" xfId="0" applyFont="1" applyFill="1" applyBorder="1" applyAlignment="1">
      <alignment horizontal="center"/>
    </xf>
    <xf numFmtId="0" fontId="3" fillId="3" borderId="9" xfId="0" applyFont="1" applyFill="1" applyBorder="1"/>
    <xf numFmtId="0" fontId="3" fillId="3" borderId="10" xfId="0" applyFont="1" applyFill="1" applyBorder="1" applyAlignment="1">
      <alignment horizontal="center"/>
    </xf>
    <xf numFmtId="0" fontId="3" fillId="3" borderId="11" xfId="0" applyFont="1" applyFill="1" applyBorder="1"/>
    <xf numFmtId="0" fontId="3" fillId="3" borderId="12" xfId="0" applyFont="1" applyFill="1" applyBorder="1" applyAlignment="1">
      <alignment horizontal="center"/>
    </xf>
    <xf numFmtId="0" fontId="3" fillId="3" borderId="13" xfId="0" applyFont="1" applyFill="1" applyBorder="1"/>
    <xf numFmtId="0" fontId="6" fillId="3" borderId="3" xfId="0" applyFont="1" applyFill="1" applyBorder="1"/>
    <xf numFmtId="0" fontId="6" fillId="3" borderId="4" xfId="0" applyFont="1" applyFill="1" applyBorder="1" applyAlignment="1">
      <alignment horizontal="center"/>
    </xf>
    <xf numFmtId="0" fontId="6" fillId="3" borderId="1" xfId="0" applyFont="1" applyFill="1" applyBorder="1" applyAlignment="1">
      <alignment horizontal="left"/>
    </xf>
    <xf numFmtId="0" fontId="6" fillId="3" borderId="14" xfId="0" applyFont="1" applyFill="1" applyBorder="1" applyAlignment="1">
      <alignment horizontal="center"/>
    </xf>
    <xf numFmtId="165" fontId="3" fillId="4" borderId="4" xfId="1" applyNumberFormat="1" applyFont="1" applyFill="1" applyBorder="1"/>
    <xf numFmtId="0" fontId="5" fillId="0" borderId="0" xfId="0" applyFont="1"/>
    <xf numFmtId="10" fontId="3" fillId="4" borderId="5" xfId="2" applyNumberFormat="1" applyFont="1" applyFill="1" applyBorder="1"/>
    <xf numFmtId="10" fontId="3" fillId="4" borderId="6" xfId="2" applyNumberFormat="1" applyFont="1" applyFill="1" applyBorder="1"/>
    <xf numFmtId="164" fontId="3" fillId="4" borderId="5" xfId="0" applyNumberFormat="1" applyFont="1" applyFill="1" applyBorder="1"/>
    <xf numFmtId="164" fontId="3" fillId="4" borderId="7" xfId="0" applyNumberFormat="1" applyFont="1" applyFill="1" applyBorder="1"/>
    <xf numFmtId="164" fontId="3" fillId="4" borderId="6" xfId="0" applyNumberFormat="1" applyFont="1" applyFill="1" applyBorder="1"/>
    <xf numFmtId="0" fontId="6" fillId="3" borderId="13" xfId="0" applyFont="1" applyFill="1" applyBorder="1"/>
    <xf numFmtId="164" fontId="6" fillId="4" borderId="7" xfId="0" applyNumberFormat="1" applyFont="1" applyFill="1" applyBorder="1"/>
    <xf numFmtId="0" fontId="6" fillId="3" borderId="11" xfId="0" applyFont="1" applyFill="1" applyBorder="1"/>
    <xf numFmtId="166" fontId="6" fillId="4" borderId="6" xfId="2" applyNumberFormat="1" applyFont="1" applyFill="1" applyBorder="1"/>
    <xf numFmtId="164" fontId="6" fillId="4" borderId="6" xfId="0" applyNumberFormat="1" applyFont="1" applyFill="1" applyBorder="1"/>
    <xf numFmtId="0" fontId="6" fillId="3" borderId="12" xfId="0" applyFont="1" applyFill="1" applyBorder="1" applyAlignment="1">
      <alignment horizontal="center"/>
    </xf>
    <xf numFmtId="0" fontId="6" fillId="3" borderId="10" xfId="0" applyFont="1" applyFill="1" applyBorder="1" applyAlignment="1">
      <alignment horizontal="center"/>
    </xf>
    <xf numFmtId="0" fontId="3" fillId="4" borderId="5" xfId="0" applyFont="1" applyFill="1" applyBorder="1"/>
    <xf numFmtId="0" fontId="3" fillId="4" borderId="7" xfId="0" applyFont="1" applyFill="1" applyBorder="1"/>
    <xf numFmtId="0" fontId="3" fillId="4" borderId="6" xfId="0" applyFont="1" applyFill="1" applyBorder="1"/>
    <xf numFmtId="0" fontId="3" fillId="4" borderId="9" xfId="0" applyFont="1" applyFill="1" applyBorder="1"/>
    <xf numFmtId="0" fontId="3" fillId="4" borderId="13" xfId="0" applyFont="1" applyFill="1" applyBorder="1"/>
    <xf numFmtId="43" fontId="3" fillId="4" borderId="11" xfId="0" applyNumberFormat="1" applyFont="1" applyFill="1" applyBorder="1"/>
    <xf numFmtId="0" fontId="3" fillId="4" borderId="11" xfId="0" applyFont="1" applyFill="1" applyBorder="1"/>
    <xf numFmtId="44" fontId="3" fillId="4" borderId="5" xfId="0" applyNumberFormat="1" applyFont="1" applyFill="1" applyBorder="1"/>
    <xf numFmtId="44" fontId="3" fillId="4" borderId="7" xfId="0" applyNumberFormat="1" applyFont="1" applyFill="1" applyBorder="1"/>
    <xf numFmtId="44" fontId="3" fillId="4" borderId="6" xfId="0" applyNumberFormat="1" applyFont="1" applyFill="1" applyBorder="1"/>
    <xf numFmtId="43" fontId="3" fillId="4" borderId="7" xfId="1" applyFont="1" applyFill="1" applyBorder="1"/>
    <xf numFmtId="165" fontId="3" fillId="4" borderId="5" xfId="1" applyNumberFormat="1" applyFont="1" applyFill="1" applyBorder="1"/>
    <xf numFmtId="165" fontId="3" fillId="4" borderId="7" xfId="1" applyNumberFormat="1" applyFont="1" applyFill="1" applyBorder="1"/>
    <xf numFmtId="165" fontId="3" fillId="4" borderId="6" xfId="1" applyNumberFormat="1" applyFont="1" applyFill="1" applyBorder="1"/>
    <xf numFmtId="44" fontId="3" fillId="4" borderId="8" xfId="0" applyNumberFormat="1" applyFont="1" applyFill="1" applyBorder="1"/>
    <xf numFmtId="44" fontId="3" fillId="4" borderId="12" xfId="0" applyNumberFormat="1" applyFont="1" applyFill="1" applyBorder="1"/>
    <xf numFmtId="44" fontId="3" fillId="4" borderId="10" xfId="0" applyNumberFormat="1" applyFont="1" applyFill="1" applyBorder="1"/>
    <xf numFmtId="10" fontId="3" fillId="4" borderId="7" xfId="2" applyNumberFormat="1" applyFont="1" applyFill="1" applyBorder="1"/>
    <xf numFmtId="44" fontId="6" fillId="3" borderId="4" xfId="0" applyNumberFormat="1" applyFont="1" applyFill="1" applyBorder="1"/>
    <xf numFmtId="0" fontId="3" fillId="3" borderId="2" xfId="0" applyFont="1" applyFill="1" applyBorder="1"/>
    <xf numFmtId="44" fontId="3" fillId="3" borderId="2" xfId="0" applyNumberFormat="1" applyFont="1" applyFill="1" applyBorder="1"/>
    <xf numFmtId="164" fontId="6" fillId="3" borderId="4" xfId="0" applyNumberFormat="1" applyFont="1" applyFill="1" applyBorder="1" applyAlignment="1">
      <alignment horizontal="center"/>
    </xf>
    <xf numFmtId="0" fontId="5" fillId="0" borderId="15" xfId="0" applyFont="1" applyBorder="1" applyAlignment="1">
      <alignment horizontal="left"/>
    </xf>
    <xf numFmtId="44" fontId="3" fillId="0" borderId="0" xfId="0" applyNumberFormat="1" applyFont="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0" borderId="16" xfId="0" applyFont="1" applyBorder="1" applyAlignment="1">
      <alignment horizontal="center"/>
    </xf>
    <xf numFmtId="0" fontId="3" fillId="0" borderId="16" xfId="0" applyFont="1" applyBorder="1"/>
    <xf numFmtId="44" fontId="3" fillId="0" borderId="16" xfId="0" applyNumberFormat="1" applyFont="1" applyBorder="1"/>
    <xf numFmtId="44" fontId="6" fillId="4" borderId="7" xfId="0" applyNumberFormat="1" applyFont="1" applyFill="1" applyBorder="1"/>
    <xf numFmtId="10" fontId="6" fillId="4" borderId="6" xfId="2" applyNumberFormat="1" applyFont="1" applyFill="1" applyBorder="1"/>
    <xf numFmtId="0" fontId="1" fillId="0" borderId="0" xfId="3" applyFont="1"/>
    <xf numFmtId="0" fontId="1" fillId="5" borderId="22" xfId="3" applyFont="1" applyFill="1" applyBorder="1"/>
    <xf numFmtId="0" fontId="1" fillId="5" borderId="23" xfId="3" applyFont="1" applyFill="1" applyBorder="1"/>
    <xf numFmtId="0" fontId="1" fillId="5" borderId="24" xfId="3" applyFont="1" applyFill="1" applyBorder="1"/>
    <xf numFmtId="0" fontId="1" fillId="5" borderId="25" xfId="3" applyFont="1" applyFill="1" applyBorder="1"/>
    <xf numFmtId="0" fontId="1" fillId="5" borderId="0" xfId="3" applyFont="1" applyFill="1"/>
    <xf numFmtId="0" fontId="11" fillId="5" borderId="0" xfId="3" applyFont="1" applyFill="1" applyAlignment="1">
      <alignment horizontal="right"/>
    </xf>
    <xf numFmtId="0" fontId="1" fillId="5" borderId="26" xfId="3" applyFont="1" applyFill="1" applyBorder="1"/>
    <xf numFmtId="0" fontId="1" fillId="5" borderId="27" xfId="3" applyFont="1" applyFill="1" applyBorder="1"/>
    <xf numFmtId="0" fontId="1" fillId="5" borderId="28" xfId="3" applyFont="1" applyFill="1" applyBorder="1"/>
    <xf numFmtId="0" fontId="1" fillId="5" borderId="29" xfId="3" applyFont="1" applyFill="1" applyBorder="1"/>
    <xf numFmtId="0" fontId="1" fillId="0" borderId="22" xfId="3" applyFont="1" applyBorder="1"/>
    <xf numFmtId="0" fontId="1" fillId="0" borderId="23" xfId="3" applyFont="1" applyBorder="1"/>
    <xf numFmtId="0" fontId="1" fillId="0" borderId="24" xfId="3" applyFont="1" applyBorder="1"/>
    <xf numFmtId="0" fontId="1" fillId="0" borderId="25" xfId="3" applyFont="1" applyBorder="1"/>
    <xf numFmtId="0" fontId="1" fillId="0" borderId="26" xfId="3" applyFont="1" applyBorder="1"/>
    <xf numFmtId="0" fontId="7" fillId="6" borderId="30" xfId="3" applyFont="1" applyFill="1" applyBorder="1" applyAlignment="1">
      <alignment horizontal="centerContinuous"/>
    </xf>
    <xf numFmtId="0" fontId="9" fillId="6" borderId="31" xfId="3" applyFont="1" applyFill="1" applyBorder="1" applyAlignment="1">
      <alignment horizontal="centerContinuous"/>
    </xf>
    <xf numFmtId="0" fontId="1" fillId="5" borderId="32" xfId="3" applyFont="1" applyFill="1" applyBorder="1"/>
    <xf numFmtId="167" fontId="1" fillId="0" borderId="32" xfId="3" applyNumberFormat="1" applyFont="1" applyBorder="1" applyAlignment="1">
      <alignment horizontal="left"/>
    </xf>
    <xf numFmtId="0" fontId="1" fillId="5" borderId="33" xfId="3" applyFont="1" applyFill="1" applyBorder="1"/>
    <xf numFmtId="0" fontId="1" fillId="0" borderId="33" xfId="3" applyFont="1" applyBorder="1" applyAlignment="1">
      <alignment horizontal="left"/>
    </xf>
    <xf numFmtId="0" fontId="1" fillId="5" borderId="34" xfId="3" applyFont="1" applyFill="1" applyBorder="1"/>
    <xf numFmtId="0" fontId="1" fillId="0" borderId="34" xfId="3" applyFont="1" applyBorder="1" applyAlignment="1">
      <alignment horizontal="left"/>
    </xf>
    <xf numFmtId="0" fontId="8" fillId="0" borderId="0" xfId="3" applyFont="1"/>
    <xf numFmtId="0" fontId="1" fillId="0" borderId="0" xfId="3" applyFont="1" applyAlignment="1">
      <alignment horizontal="left" indent="1"/>
    </xf>
    <xf numFmtId="0" fontId="1" fillId="0" borderId="0" xfId="3" quotePrefix="1" applyFont="1"/>
    <xf numFmtId="0" fontId="1" fillId="0" borderId="0" xfId="3" applyFont="1" applyAlignment="1">
      <alignment horizontal="right"/>
    </xf>
    <xf numFmtId="0" fontId="1" fillId="0" borderId="27" xfId="3" applyFont="1" applyBorder="1"/>
    <xf numFmtId="0" fontId="1" fillId="0" borderId="28" xfId="3" applyFont="1" applyBorder="1"/>
    <xf numFmtId="0" fontId="1" fillId="0" borderId="29" xfId="3" applyFont="1" applyBorder="1"/>
    <xf numFmtId="0" fontId="13" fillId="3" borderId="35" xfId="3" applyFont="1" applyFill="1" applyBorder="1" applyAlignment="1">
      <alignment vertical="center" wrapText="1"/>
    </xf>
    <xf numFmtId="0" fontId="13" fillId="3" borderId="36" xfId="3" applyFont="1" applyFill="1" applyBorder="1" applyAlignment="1">
      <alignment vertical="center" wrapText="1"/>
    </xf>
    <xf numFmtId="0" fontId="13" fillId="3" borderId="37" xfId="3" applyFont="1" applyFill="1" applyBorder="1" applyAlignment="1">
      <alignment vertical="center" wrapText="1"/>
    </xf>
    <xf numFmtId="0" fontId="13" fillId="3" borderId="38" xfId="3" applyFont="1" applyFill="1" applyBorder="1" applyAlignment="1">
      <alignment vertical="center" wrapText="1"/>
    </xf>
    <xf numFmtId="0" fontId="13" fillId="3" borderId="39" xfId="3" applyFont="1" applyFill="1" applyBorder="1" applyAlignment="1">
      <alignment vertical="center" wrapText="1"/>
    </xf>
    <xf numFmtId="0" fontId="13" fillId="3" borderId="0" xfId="3" applyFont="1" applyFill="1" applyAlignment="1">
      <alignment vertical="center" wrapText="1"/>
    </xf>
    <xf numFmtId="0" fontId="13" fillId="3" borderId="38" xfId="3" applyFont="1" applyFill="1" applyBorder="1"/>
    <xf numFmtId="0" fontId="13" fillId="3" borderId="39" xfId="3" applyFont="1" applyFill="1" applyBorder="1"/>
    <xf numFmtId="0" fontId="13" fillId="3" borderId="40" xfId="3" applyFont="1" applyFill="1" applyBorder="1"/>
    <xf numFmtId="0" fontId="13" fillId="3" borderId="41" xfId="3" applyFont="1" applyFill="1" applyBorder="1" applyAlignment="1">
      <alignment vertical="center" wrapText="1"/>
    </xf>
    <xf numFmtId="0" fontId="13" fillId="3" borderId="42" xfId="3" applyFont="1" applyFill="1" applyBorder="1"/>
    <xf numFmtId="0" fontId="1" fillId="0" borderId="0" xfId="3" quotePrefix="1" applyFont="1" applyAlignment="1">
      <alignment vertical="top"/>
    </xf>
    <xf numFmtId="0" fontId="1" fillId="0" borderId="0" xfId="3" applyFont="1" applyAlignment="1">
      <alignment vertical="top" wrapText="1"/>
    </xf>
    <xf numFmtId="0" fontId="1" fillId="0" borderId="0" xfId="3" applyFont="1" applyAlignment="1">
      <alignment vertical="top"/>
    </xf>
    <xf numFmtId="0" fontId="18" fillId="0" borderId="0" xfId="5" quotePrefix="1" applyFont="1" applyBorder="1" applyAlignment="1" applyProtection="1">
      <alignment horizontal="left" wrapText="1"/>
    </xf>
    <xf numFmtId="168" fontId="1" fillId="0" borderId="0" xfId="3" applyNumberFormat="1" applyFont="1" applyAlignment="1">
      <alignment horizontal="left"/>
    </xf>
    <xf numFmtId="0" fontId="1" fillId="5" borderId="22" xfId="0" applyFont="1" applyFill="1" applyBorder="1"/>
    <xf numFmtId="0" fontId="1" fillId="5" borderId="23" xfId="0" applyFont="1" applyFill="1" applyBorder="1"/>
    <xf numFmtId="0" fontId="1" fillId="5" borderId="24" xfId="0" applyFont="1" applyFill="1" applyBorder="1"/>
    <xf numFmtId="0" fontId="1" fillId="5" borderId="25" xfId="0" applyFont="1" applyFill="1" applyBorder="1"/>
    <xf numFmtId="0" fontId="12" fillId="5" borderId="0" xfId="0" applyFont="1" applyFill="1" applyAlignment="1">
      <alignment horizontal="right"/>
    </xf>
    <xf numFmtId="0" fontId="1" fillId="5" borderId="26" xfId="0" applyFont="1" applyFill="1" applyBorder="1"/>
    <xf numFmtId="0" fontId="1" fillId="5" borderId="27" xfId="0" applyFont="1" applyFill="1" applyBorder="1"/>
    <xf numFmtId="0" fontId="1" fillId="5" borderId="28" xfId="0" applyFont="1" applyFill="1" applyBorder="1"/>
    <xf numFmtId="0" fontId="1" fillId="5" borderId="29" xfId="0" applyFont="1" applyFill="1" applyBorder="1"/>
    <xf numFmtId="0" fontId="3" fillId="3" borderId="43" xfId="0" applyFont="1" applyFill="1" applyBorder="1" applyAlignment="1">
      <alignment horizontal="center"/>
    </xf>
    <xf numFmtId="0" fontId="3" fillId="3" borderId="44" xfId="0" applyFont="1" applyFill="1" applyBorder="1"/>
    <xf numFmtId="0" fontId="5" fillId="0" borderId="23" xfId="0" applyFont="1" applyBorder="1" applyAlignment="1">
      <alignment horizontal="left" indent="3"/>
    </xf>
    <xf numFmtId="0" fontId="5" fillId="0" borderId="23" xfId="0" applyFont="1" applyBorder="1"/>
    <xf numFmtId="0" fontId="5" fillId="0" borderId="24" xfId="0" applyFont="1" applyBorder="1"/>
    <xf numFmtId="0" fontId="5" fillId="0" borderId="26" xfId="0" applyFont="1" applyBorder="1"/>
    <xf numFmtId="0" fontId="3" fillId="0" borderId="25" xfId="0" applyFont="1" applyBorder="1"/>
    <xf numFmtId="0" fontId="3" fillId="0" borderId="26" xfId="0" applyFont="1" applyBorder="1"/>
    <xf numFmtId="10" fontId="4" fillId="0" borderId="0" xfId="2" applyNumberFormat="1" applyFont="1" applyFill="1" applyBorder="1"/>
    <xf numFmtId="0" fontId="4" fillId="0" borderId="0" xfId="0" applyFont="1"/>
    <xf numFmtId="0" fontId="3" fillId="0" borderId="25" xfId="0" applyFont="1" applyBorder="1" applyAlignment="1">
      <alignment horizontal="center"/>
    </xf>
    <xf numFmtId="0" fontId="3" fillId="0" borderId="27" xfId="0" applyFont="1" applyBorder="1" applyAlignment="1">
      <alignment horizontal="center"/>
    </xf>
    <xf numFmtId="0" fontId="3" fillId="0" borderId="28" xfId="0" applyFont="1" applyBorder="1"/>
    <xf numFmtId="0" fontId="3" fillId="0" borderId="29" xfId="0" applyFont="1" applyBorder="1"/>
    <xf numFmtId="0" fontId="6" fillId="0" borderId="0" xfId="0" applyFont="1" applyAlignment="1">
      <alignment horizontal="center"/>
    </xf>
    <xf numFmtId="2" fontId="4" fillId="0" borderId="0" xfId="0" applyNumberFormat="1" applyFont="1"/>
    <xf numFmtId="169" fontId="3" fillId="0" borderId="0" xfId="0" applyNumberFormat="1" applyFont="1"/>
    <xf numFmtId="0" fontId="3" fillId="0" borderId="22" xfId="0" applyFont="1" applyBorder="1"/>
    <xf numFmtId="43" fontId="4" fillId="0" borderId="0" xfId="1" applyFont="1" applyFill="1" applyBorder="1"/>
    <xf numFmtId="164" fontId="4" fillId="0" borderId="0" xfId="0" applyNumberFormat="1" applyFont="1"/>
    <xf numFmtId="0" fontId="3" fillId="3" borderId="0" xfId="0" applyFont="1" applyFill="1"/>
    <xf numFmtId="10" fontId="4" fillId="0" borderId="0" xfId="2" applyNumberFormat="1" applyFont="1" applyFill="1" applyBorder="1" applyAlignment="1">
      <alignment horizontal="right"/>
    </xf>
    <xf numFmtId="0" fontId="5" fillId="0" borderId="23" xfId="0" applyFont="1" applyBorder="1" applyAlignment="1">
      <alignment horizontal="left"/>
    </xf>
    <xf numFmtId="0" fontId="3" fillId="0" borderId="24" xfId="0" applyFont="1" applyBorder="1"/>
    <xf numFmtId="0" fontId="5" fillId="0" borderId="0" xfId="0" applyFont="1" applyAlignment="1">
      <alignment horizontal="left"/>
    </xf>
    <xf numFmtId="0" fontId="3" fillId="0" borderId="23" xfId="0" applyFont="1" applyBorder="1"/>
    <xf numFmtId="10" fontId="3" fillId="0" borderId="0" xfId="2" applyNumberFormat="1" applyFont="1" applyBorder="1"/>
    <xf numFmtId="166" fontId="3" fillId="0" borderId="0" xfId="2" applyNumberFormat="1" applyFont="1" applyBorder="1"/>
    <xf numFmtId="0" fontId="3" fillId="0" borderId="27" xfId="0" applyFont="1" applyBorder="1"/>
    <xf numFmtId="0" fontId="3" fillId="0" borderId="28" xfId="0" applyFont="1" applyBorder="1" applyAlignment="1">
      <alignment horizontal="center"/>
    </xf>
    <xf numFmtId="0" fontId="3" fillId="0" borderId="0" xfId="0" applyFont="1" applyAlignment="1">
      <alignment horizontal="left"/>
    </xf>
    <xf numFmtId="44" fontId="3" fillId="0" borderId="28" xfId="0" applyNumberFormat="1" applyFont="1" applyBorder="1"/>
    <xf numFmtId="164" fontId="3" fillId="0" borderId="28" xfId="0" applyNumberFormat="1" applyFont="1" applyBorder="1"/>
    <xf numFmtId="0" fontId="6" fillId="0" borderId="0" xfId="0" applyFont="1"/>
    <xf numFmtId="10" fontId="6" fillId="0" borderId="0" xfId="2" applyNumberFormat="1" applyFont="1" applyBorder="1"/>
    <xf numFmtId="164" fontId="6" fillId="0" borderId="0" xfId="0" applyNumberFormat="1" applyFont="1"/>
    <xf numFmtId="0" fontId="18" fillId="0" borderId="0" xfId="4" quotePrefix="1" applyFont="1"/>
    <xf numFmtId="0" fontId="18" fillId="0" borderId="0" xfId="4" applyFont="1"/>
    <xf numFmtId="0" fontId="18" fillId="0" borderId="0" xfId="4" quotePrefix="1" applyFont="1" applyAlignment="1">
      <alignment vertical="top"/>
    </xf>
    <xf numFmtId="0" fontId="19" fillId="0" borderId="23" xfId="0" applyFont="1" applyBorder="1" applyAlignment="1">
      <alignment horizontal="center" vertical="center"/>
    </xf>
    <xf numFmtId="0" fontId="19" fillId="0" borderId="23" xfId="0" applyFont="1" applyBorder="1" applyAlignment="1">
      <alignment vertical="center"/>
    </xf>
    <xf numFmtId="0" fontId="5" fillId="0" borderId="23" xfId="0" applyFont="1" applyBorder="1" applyAlignment="1">
      <alignment horizontal="center"/>
    </xf>
    <xf numFmtId="0" fontId="3" fillId="3" borderId="3" xfId="0" applyFont="1" applyFill="1" applyBorder="1"/>
    <xf numFmtId="0" fontId="6" fillId="4" borderId="7" xfId="0" applyFont="1" applyFill="1" applyBorder="1"/>
    <xf numFmtId="44" fontId="6" fillId="4" borderId="12" xfId="0" applyNumberFormat="1" applyFont="1" applyFill="1" applyBorder="1"/>
    <xf numFmtId="0" fontId="6" fillId="4" borderId="13" xfId="0" applyFont="1" applyFill="1" applyBorder="1"/>
    <xf numFmtId="0" fontId="6" fillId="4" borderId="6" xfId="0" applyFont="1" applyFill="1" applyBorder="1"/>
    <xf numFmtId="44" fontId="6" fillId="4" borderId="10" xfId="0" applyNumberFormat="1" applyFont="1" applyFill="1" applyBorder="1"/>
    <xf numFmtId="0" fontId="6" fillId="4" borderId="11" xfId="0" applyFont="1" applyFill="1" applyBorder="1"/>
    <xf numFmtId="44" fontId="6" fillId="4" borderId="6" xfId="0" applyNumberFormat="1" applyFont="1" applyFill="1" applyBorder="1"/>
    <xf numFmtId="0" fontId="6" fillId="3" borderId="8" xfId="0" applyFont="1" applyFill="1" applyBorder="1" applyAlignment="1">
      <alignment horizontal="center"/>
    </xf>
    <xf numFmtId="0" fontId="6" fillId="3" borderId="19" xfId="0" applyFont="1" applyFill="1" applyBorder="1" applyAlignment="1">
      <alignment horizontal="left"/>
    </xf>
    <xf numFmtId="0" fontId="6" fillId="3" borderId="9" xfId="0" applyFont="1" applyFill="1" applyBorder="1"/>
    <xf numFmtId="44" fontId="6" fillId="4" borderId="5" xfId="0" applyNumberFormat="1" applyFont="1" applyFill="1" applyBorder="1"/>
    <xf numFmtId="0" fontId="6" fillId="3" borderId="20" xfId="0" applyFont="1" applyFill="1" applyBorder="1" applyAlignment="1">
      <alignment horizontal="left"/>
    </xf>
    <xf numFmtId="0" fontId="6" fillId="3" borderId="21" xfId="0" applyFont="1" applyFill="1" applyBorder="1" applyAlignment="1">
      <alignment horizontal="left"/>
    </xf>
    <xf numFmtId="164" fontId="6" fillId="4" borderId="5" xfId="0" applyNumberFormat="1" applyFont="1" applyFill="1" applyBorder="1"/>
    <xf numFmtId="44" fontId="4" fillId="2" borderId="5" xfId="0" applyNumberFormat="1" applyFont="1" applyFill="1" applyBorder="1" applyProtection="1">
      <protection locked="0"/>
    </xf>
    <xf numFmtId="10" fontId="4" fillId="2" borderId="5" xfId="2" applyNumberFormat="1" applyFont="1" applyFill="1" applyBorder="1" applyProtection="1">
      <protection locked="0"/>
    </xf>
    <xf numFmtId="10" fontId="4" fillId="2" borderId="6" xfId="2" applyNumberFormat="1" applyFont="1" applyFill="1" applyBorder="1" applyProtection="1">
      <protection locked="0"/>
    </xf>
    <xf numFmtId="10" fontId="4" fillId="2" borderId="6" xfId="2" applyNumberFormat="1" applyFont="1" applyFill="1" applyBorder="1" applyAlignment="1" applyProtection="1">
      <alignment horizontal="right"/>
      <protection locked="0"/>
    </xf>
    <xf numFmtId="44" fontId="4" fillId="2" borderId="7" xfId="0" applyNumberFormat="1" applyFont="1" applyFill="1" applyBorder="1" applyProtection="1">
      <protection locked="0"/>
    </xf>
    <xf numFmtId="165" fontId="4" fillId="2" borderId="5" xfId="1" applyNumberFormat="1" applyFont="1" applyFill="1" applyBorder="1" applyProtection="1">
      <protection locked="0"/>
    </xf>
    <xf numFmtId="165" fontId="4" fillId="2" borderId="7" xfId="1" applyNumberFormat="1" applyFont="1" applyFill="1" applyBorder="1" applyProtection="1">
      <protection locked="0"/>
    </xf>
    <xf numFmtId="43" fontId="4" fillId="2" borderId="6" xfId="1" applyFont="1" applyFill="1" applyBorder="1" applyProtection="1">
      <protection locked="0"/>
    </xf>
    <xf numFmtId="2" fontId="4" fillId="2" borderId="6" xfId="0" applyNumberFormat="1" applyFont="1" applyFill="1" applyBorder="1" applyProtection="1">
      <protection locked="0"/>
    </xf>
    <xf numFmtId="164" fontId="4" fillId="2" borderId="5" xfId="0" applyNumberFormat="1" applyFont="1" applyFill="1" applyBorder="1" applyProtection="1">
      <protection locked="0"/>
    </xf>
    <xf numFmtId="164" fontId="4" fillId="2" borderId="7" xfId="0" applyNumberFormat="1" applyFont="1" applyFill="1" applyBorder="1" applyProtection="1">
      <protection locked="0"/>
    </xf>
    <xf numFmtId="164" fontId="4" fillId="2" borderId="6" xfId="0" applyNumberFormat="1" applyFont="1" applyFill="1" applyBorder="1" applyProtection="1">
      <protection locked="0"/>
    </xf>
    <xf numFmtId="10" fontId="4" fillId="2" borderId="7" xfId="2" applyNumberFormat="1" applyFont="1" applyFill="1" applyBorder="1" applyProtection="1">
      <protection locked="0"/>
    </xf>
    <xf numFmtId="1" fontId="4" fillId="2" borderId="7" xfId="0" applyNumberFormat="1" applyFont="1" applyFill="1" applyBorder="1" applyProtection="1">
      <protection locked="0"/>
    </xf>
    <xf numFmtId="44" fontId="3" fillId="7" borderId="0" xfId="0" applyNumberFormat="1" applyFont="1" applyFill="1" applyAlignment="1">
      <alignment horizontal="center"/>
    </xf>
    <xf numFmtId="44" fontId="3" fillId="7" borderId="0" xfId="0" applyNumberFormat="1" applyFont="1" applyFill="1"/>
    <xf numFmtId="164" fontId="3" fillId="7" borderId="0" xfId="0" applyNumberFormat="1" applyFont="1" applyFill="1"/>
    <xf numFmtId="10" fontId="3" fillId="0" borderId="0" xfId="2" applyNumberFormat="1" applyFont="1"/>
    <xf numFmtId="0" fontId="12" fillId="5" borderId="0" xfId="3" applyFont="1" applyFill="1" applyAlignment="1">
      <alignment horizontal="right"/>
    </xf>
    <xf numFmtId="0" fontId="14" fillId="3" borderId="0" xfId="3" applyFont="1" applyFill="1" applyAlignment="1">
      <alignment horizontal="center" vertical="center" wrapText="1"/>
    </xf>
    <xf numFmtId="0" fontId="13" fillId="3" borderId="0" xfId="3" applyFont="1" applyFill="1" applyAlignment="1">
      <alignment vertical="top" wrapText="1"/>
    </xf>
    <xf numFmtId="0" fontId="13" fillId="3" borderId="0" xfId="3" applyFont="1" applyFill="1" applyAlignment="1">
      <alignment vertical="center" wrapText="1"/>
    </xf>
    <xf numFmtId="0" fontId="16" fillId="0" borderId="0" xfId="3" applyFont="1" applyAlignment="1">
      <alignment horizontal="center" vertical="center"/>
    </xf>
    <xf numFmtId="0" fontId="1" fillId="0" borderId="0" xfId="3" applyFont="1" applyAlignment="1">
      <alignment vertical="top" wrapText="1"/>
    </xf>
    <xf numFmtId="169" fontId="1" fillId="0" borderId="0" xfId="3" applyNumberFormat="1" applyFont="1" applyAlignment="1">
      <alignment horizontal="right"/>
    </xf>
    <xf numFmtId="0" fontId="18" fillId="0" borderId="0" xfId="5" quotePrefix="1" applyFont="1" applyBorder="1" applyAlignment="1" applyProtection="1">
      <alignment horizontal="left" wrapText="1"/>
    </xf>
    <xf numFmtId="10" fontId="4" fillId="2" borderId="8" xfId="2" applyNumberFormat="1" applyFont="1" applyFill="1" applyBorder="1" applyProtection="1">
      <protection locked="0"/>
    </xf>
    <xf numFmtId="10" fontId="4" fillId="2" borderId="9" xfId="2" applyNumberFormat="1" applyFont="1" applyFill="1" applyBorder="1" applyProtection="1">
      <protection locked="0"/>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10" fontId="4" fillId="2" borderId="12" xfId="2" applyNumberFormat="1" applyFont="1" applyFill="1" applyBorder="1" applyProtection="1">
      <protection locked="0"/>
    </xf>
    <xf numFmtId="10" fontId="4" fillId="2" borderId="13" xfId="2" applyNumberFormat="1" applyFont="1" applyFill="1" applyBorder="1" applyProtection="1">
      <protection locked="0"/>
    </xf>
    <xf numFmtId="2" fontId="4" fillId="2" borderId="12" xfId="0" applyNumberFormat="1" applyFont="1" applyFill="1" applyBorder="1" applyProtection="1">
      <protection locked="0"/>
    </xf>
    <xf numFmtId="2" fontId="4" fillId="2" borderId="13" xfId="0" applyNumberFormat="1" applyFont="1" applyFill="1" applyBorder="1" applyProtection="1">
      <protection locked="0"/>
    </xf>
    <xf numFmtId="10" fontId="4" fillId="2" borderId="10" xfId="2" applyNumberFormat="1" applyFont="1" applyFill="1" applyBorder="1" applyProtection="1">
      <protection locked="0"/>
    </xf>
    <xf numFmtId="10" fontId="4" fillId="2" borderId="11" xfId="2" applyNumberFormat="1" applyFont="1" applyFill="1" applyBorder="1" applyProtection="1">
      <protection locked="0"/>
    </xf>
    <xf numFmtId="0" fontId="4" fillId="2" borderId="10" xfId="0" applyFont="1" applyFill="1" applyBorder="1" applyProtection="1">
      <protection locked="0"/>
    </xf>
    <xf numFmtId="0" fontId="4" fillId="2" borderId="11" xfId="0" applyFont="1" applyFill="1" applyBorder="1" applyProtection="1">
      <protection locked="0"/>
    </xf>
    <xf numFmtId="0" fontId="4" fillId="2" borderId="12" xfId="0" applyFont="1" applyFill="1" applyBorder="1" applyProtection="1">
      <protection locked="0"/>
    </xf>
    <xf numFmtId="0" fontId="4" fillId="2" borderId="13" xfId="0" applyFont="1" applyFill="1" applyBorder="1" applyProtection="1">
      <protection locked="0"/>
    </xf>
    <xf numFmtId="0" fontId="12" fillId="5" borderId="0" xfId="0" applyFont="1" applyFill="1" applyAlignment="1">
      <alignment horizontal="right" vertical="center"/>
    </xf>
    <xf numFmtId="0" fontId="5" fillId="0" borderId="22" xfId="0" applyFont="1" applyBorder="1" applyAlignment="1">
      <alignment horizontal="left" indent="3"/>
    </xf>
    <xf numFmtId="0" fontId="5" fillId="0" borderId="23" xfId="0" applyFont="1" applyBorder="1" applyAlignment="1">
      <alignment horizontal="left" indent="3"/>
    </xf>
    <xf numFmtId="0" fontId="5" fillId="0" borderId="25" xfId="0" applyFont="1" applyBorder="1" applyAlignment="1">
      <alignment horizontal="left" indent="3"/>
    </xf>
    <xf numFmtId="0" fontId="5" fillId="0" borderId="0" xfId="0" applyFont="1" applyAlignment="1">
      <alignment horizontal="left" indent="3"/>
    </xf>
    <xf numFmtId="0" fontId="20" fillId="0" borderId="0" xfId="0" applyFont="1" applyAlignment="1">
      <alignment horizontal="center" vertical="center"/>
    </xf>
    <xf numFmtId="169" fontId="3" fillId="0" borderId="0" xfId="0" applyNumberFormat="1" applyFont="1"/>
    <xf numFmtId="0" fontId="5" fillId="0" borderId="15" xfId="0" applyFont="1" applyBorder="1" applyAlignment="1">
      <alignment horizontal="left" indent="3"/>
    </xf>
    <xf numFmtId="0" fontId="5" fillId="0" borderId="0" xfId="0" applyFont="1" applyAlignment="1">
      <alignment horizontal="left"/>
    </xf>
    <xf numFmtId="0" fontId="19" fillId="0" borderId="23" xfId="0" applyFont="1" applyBorder="1" applyAlignment="1">
      <alignment horizontal="center" vertical="center"/>
    </xf>
    <xf numFmtId="0" fontId="12" fillId="5" borderId="0" xfId="0" applyFont="1" applyFill="1" applyAlignment="1">
      <alignment horizontal="right"/>
    </xf>
    <xf numFmtId="0" fontId="5" fillId="0" borderId="0" xfId="0" applyFont="1"/>
    <xf numFmtId="0" fontId="5" fillId="0" borderId="15" xfId="0" applyFont="1" applyBorder="1"/>
    <xf numFmtId="0" fontId="6" fillId="3" borderId="18" xfId="0" applyFont="1" applyFill="1" applyBorder="1" applyAlignment="1">
      <alignment horizontal="center"/>
    </xf>
    <xf numFmtId="0" fontId="6" fillId="3" borderId="16" xfId="0" applyFont="1" applyFill="1" applyBorder="1" applyAlignment="1">
      <alignment horizontal="center"/>
    </xf>
    <xf numFmtId="0" fontId="6" fillId="3" borderId="17" xfId="0" applyFont="1" applyFill="1" applyBorder="1" applyAlignment="1">
      <alignment horizontal="center"/>
    </xf>
    <xf numFmtId="0" fontId="6" fillId="3" borderId="18" xfId="0" applyFont="1" applyFill="1" applyBorder="1"/>
    <xf numFmtId="0" fontId="6" fillId="3" borderId="16" xfId="0" applyFont="1" applyFill="1" applyBorder="1"/>
    <xf numFmtId="0" fontId="6" fillId="3" borderId="17" xfId="0" applyFont="1" applyFill="1" applyBorder="1"/>
    <xf numFmtId="0" fontId="5" fillId="0" borderId="16" xfId="0" applyFont="1" applyBorder="1" applyAlignment="1">
      <alignment horizontal="left"/>
    </xf>
    <xf numFmtId="0" fontId="5" fillId="0" borderId="15" xfId="0" applyFont="1" applyBorder="1" applyAlignment="1">
      <alignment horizontal="left"/>
    </xf>
    <xf numFmtId="0" fontId="6" fillId="3" borderId="4" xfId="0" applyFont="1" applyFill="1" applyBorder="1" applyAlignment="1">
      <alignment horizontal="left"/>
    </xf>
    <xf numFmtId="0" fontId="5" fillId="0" borderId="23" xfId="0" applyFont="1" applyBorder="1" applyAlignment="1">
      <alignment horizontal="left" indent="1"/>
    </xf>
    <xf numFmtId="0" fontId="5" fillId="0" borderId="0" xfId="0" applyFont="1" applyAlignment="1">
      <alignment horizontal="left" inden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33" xfId="4" applyBorder="1" applyAlignment="1">
      <alignment horizontal="left"/>
    </xf>
  </cellXfs>
  <cellStyles count="6">
    <cellStyle name="Comma" xfId="1" builtinId="3"/>
    <cellStyle name="Hyperlink" xfId="4" builtinId="8"/>
    <cellStyle name="Hyperlink 2" xfId="5" xr:uid="{6049555A-50FD-4A76-8A88-B18022C21B2B}"/>
    <cellStyle name="Normal" xfId="0" builtinId="0"/>
    <cellStyle name="Normal 2" xfId="3" xr:uid="{B5532D56-F44C-47CB-8AE4-A591EBBFEF78}"/>
    <cellStyle name="Percent" xfId="2" builtinId="5"/>
  </cellStyles>
  <dxfs count="0"/>
  <tableStyles count="0" defaultTableStyle="TableStyleMedium2" defaultPivotStyle="PivotStyleLight16"/>
  <colors>
    <mruColors>
      <color rgb="FF632523"/>
      <color rgb="FFD9E1F2"/>
      <color rgb="FFFF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2"/><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3"/><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4"/><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4</xdr:col>
      <xdr:colOff>1284492</xdr:colOff>
      <xdr:row>5</xdr:row>
      <xdr:rowOff>140335</xdr:rowOff>
    </xdr:to>
    <xdr:pic>
      <xdr:nvPicPr>
        <xdr:cNvPr id="2" name="Picture 1" descr="A close-up of a logo&#10;&#10;Description automatically generated">
          <a:extLst>
            <a:ext uri="{FF2B5EF4-FFF2-40B4-BE49-F238E27FC236}">
              <a16:creationId xmlns:a16="http://schemas.microsoft.com/office/drawing/2014/main" id="{4249A9A6-766B-49C9-9113-FDC75A5A9E4D}"/>
            </a:ext>
          </a:extLst>
        </xdr:cNvPr>
        <xdr:cNvPicPr>
          <a:picLocks noChangeAspect="1"/>
        </xdr:cNvPicPr>
      </xdr:nvPicPr>
      <xdr:blipFill>
        <a:blip xmlns:r="http://schemas.openxmlformats.org/officeDocument/2006/relationships" r:embed="rId1"/>
        <a:stretch>
          <a:fillRect/>
        </a:stretch>
      </xdr:blipFill>
      <xdr:spPr>
        <a:xfrm>
          <a:off x="285750" y="247650"/>
          <a:ext cx="3265692" cy="8547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2444750</xdr:colOff>
      <xdr:row>5</xdr:row>
      <xdr:rowOff>161906</xdr:rowOff>
    </xdr:to>
    <xdr:pic>
      <xdr:nvPicPr>
        <xdr:cNvPr id="4" name="Picture 3" descr="A close-up of a logo&#10;&#10;Description automatically generated">
          <a:extLst>
            <a:ext uri="{FF2B5EF4-FFF2-40B4-BE49-F238E27FC236}">
              <a16:creationId xmlns:a16="http://schemas.microsoft.com/office/drawing/2014/main" id="{65A3D4B7-10F8-4C0B-BC95-452D1A03B07F}"/>
            </a:ext>
          </a:extLst>
        </xdr:cNvPr>
        <xdr:cNvPicPr>
          <a:picLocks noChangeAspect="1"/>
        </xdr:cNvPicPr>
      </xdr:nvPicPr>
      <xdr:blipFill>
        <a:blip xmlns:r="http://schemas.openxmlformats.org/officeDocument/2006/relationships" r:embed="rId1"/>
        <a:stretch>
          <a:fillRect/>
        </a:stretch>
      </xdr:blipFill>
      <xdr:spPr>
        <a:xfrm>
          <a:off x="657225" y="238125"/>
          <a:ext cx="2924175" cy="8762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47626</xdr:colOff>
      <xdr:row>1</xdr:row>
      <xdr:rowOff>47625</xdr:rowOff>
    </xdr:from>
    <xdr:to>
      <xdr:col>3</xdr:col>
      <xdr:colOff>2314576</xdr:colOff>
      <xdr:row>5</xdr:row>
      <xdr:rowOff>168491</xdr:rowOff>
    </xdr:to>
    <xdr:pic>
      <xdr:nvPicPr>
        <xdr:cNvPr id="2" name="Picture 1" descr="A close-up of a logo&#10;&#10;Description automatically generated">
          <a:extLst>
            <a:ext uri="{FF2B5EF4-FFF2-40B4-BE49-F238E27FC236}">
              <a16:creationId xmlns:a16="http://schemas.microsoft.com/office/drawing/2014/main" id="{F9453247-0D64-4C9B-8673-9A5697AD6B1C}"/>
            </a:ext>
          </a:extLst>
        </xdr:cNvPr>
        <xdr:cNvPicPr>
          <a:picLocks noChangeAspect="1"/>
        </xdr:cNvPicPr>
      </xdr:nvPicPr>
      <xdr:blipFill>
        <a:blip xmlns:r="http://schemas.openxmlformats.org/officeDocument/2006/relationships" r:embed="rId1"/>
        <a:stretch>
          <a:fillRect/>
        </a:stretch>
      </xdr:blipFill>
      <xdr:spPr>
        <a:xfrm>
          <a:off x="314326" y="238125"/>
          <a:ext cx="2800350" cy="882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7</xdr:col>
      <xdr:colOff>112917</xdr:colOff>
      <xdr:row>5</xdr:row>
      <xdr:rowOff>146685</xdr:rowOff>
    </xdr:to>
    <xdr:pic>
      <xdr:nvPicPr>
        <xdr:cNvPr id="2" name="Picture 1" descr="A close-up of a logo&#10;&#10;Description automatically generated">
          <a:extLst>
            <a:ext uri="{FF2B5EF4-FFF2-40B4-BE49-F238E27FC236}">
              <a16:creationId xmlns:a16="http://schemas.microsoft.com/office/drawing/2014/main" id="{239DEE0B-BD56-4256-9207-91B77EE43EF7}"/>
            </a:ext>
          </a:extLst>
        </xdr:cNvPr>
        <xdr:cNvPicPr>
          <a:picLocks noChangeAspect="1"/>
        </xdr:cNvPicPr>
      </xdr:nvPicPr>
      <xdr:blipFill>
        <a:blip xmlns:r="http://schemas.openxmlformats.org/officeDocument/2006/relationships" r:embed="rId1"/>
        <a:stretch>
          <a:fillRect/>
        </a:stretch>
      </xdr:blipFill>
      <xdr:spPr>
        <a:xfrm>
          <a:off x="285750" y="247650"/>
          <a:ext cx="3265692" cy="861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63501</xdr:rowOff>
    </xdr:from>
    <xdr:to>
      <xdr:col>3</xdr:col>
      <xdr:colOff>2616200</xdr:colOff>
      <xdr:row>5</xdr:row>
      <xdr:rowOff>165076</xdr:rowOff>
    </xdr:to>
    <xdr:pic>
      <xdr:nvPicPr>
        <xdr:cNvPr id="2" name="Picture 1" descr="A close-up of a logo&#10;&#10;Description automatically generated">
          <a:extLst>
            <a:ext uri="{FF2B5EF4-FFF2-40B4-BE49-F238E27FC236}">
              <a16:creationId xmlns:a16="http://schemas.microsoft.com/office/drawing/2014/main" id="{8FEBD06C-BEFA-4048-86ED-3D46AEC5D15A}"/>
            </a:ext>
          </a:extLst>
        </xdr:cNvPr>
        <xdr:cNvPicPr>
          <a:picLocks noChangeAspect="1"/>
        </xdr:cNvPicPr>
      </xdr:nvPicPr>
      <xdr:blipFill>
        <a:blip xmlns:r="http://schemas.openxmlformats.org/officeDocument/2006/relationships" r:embed="rId1"/>
        <a:stretch>
          <a:fillRect/>
        </a:stretch>
      </xdr:blipFill>
      <xdr:spPr>
        <a:xfrm>
          <a:off x="285750" y="254001"/>
          <a:ext cx="3063875" cy="879450"/>
        </a:xfrm>
        <a:prstGeom prst="rect">
          <a:avLst/>
        </a:prstGeom>
      </xdr:spPr>
    </xdr:pic>
    <xdr:clientData/>
  </xdr:twoCellAnchor>
  <xdr:twoCellAnchor editAs="oneCell">
    <xdr:from>
      <xdr:col>3</xdr:col>
      <xdr:colOff>4627336</xdr:colOff>
      <xdr:row>6</xdr:row>
      <xdr:rowOff>82550</xdr:rowOff>
    </xdr:from>
    <xdr:to>
      <xdr:col>4</xdr:col>
      <xdr:colOff>9525</xdr:colOff>
      <xdr:row>8</xdr:row>
      <xdr:rowOff>114300</xdr:rowOff>
    </xdr:to>
    <xdr:pic>
      <xdr:nvPicPr>
        <xdr:cNvPr id="3" name="Picture 2" descr="A close-up of a sign&#10;&#10;Description automatically generated">
          <a:hlinkClick xmlns:r="http://schemas.openxmlformats.org/officeDocument/2006/relationships" r:id="rId2"/>
          <a:extLst>
            <a:ext uri="{FF2B5EF4-FFF2-40B4-BE49-F238E27FC236}">
              <a16:creationId xmlns:a16="http://schemas.microsoft.com/office/drawing/2014/main" id="{D8117EEB-4F4B-46B4-8A49-156B000571D4}"/>
            </a:ext>
          </a:extLst>
        </xdr:cNvPr>
        <xdr:cNvPicPr>
          <a:picLocks noChangeAspect="1"/>
        </xdr:cNvPicPr>
      </xdr:nvPicPr>
      <xdr:blipFill>
        <a:blip xmlns:r="http://schemas.openxmlformats.org/officeDocument/2006/relationships" r:embed="rId3"/>
        <a:stretch>
          <a:fillRect/>
        </a:stretch>
      </xdr:blipFill>
      <xdr:spPr>
        <a:xfrm>
          <a:off x="5351236" y="1244600"/>
          <a:ext cx="1497239" cy="41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3</xdr:col>
      <xdr:colOff>2571810</xdr:colOff>
      <xdr:row>5</xdr:row>
      <xdr:rowOff>155550</xdr:rowOff>
    </xdr:to>
    <xdr:pic>
      <xdr:nvPicPr>
        <xdr:cNvPr id="3" name="Picture 2" descr="A close-up of a logo&#10;&#10;Description automatically generated">
          <a:extLst>
            <a:ext uri="{FF2B5EF4-FFF2-40B4-BE49-F238E27FC236}">
              <a16:creationId xmlns:a16="http://schemas.microsoft.com/office/drawing/2014/main" id="{01B1F7F1-519F-43DC-89FA-3924B33C7BC5}"/>
            </a:ext>
          </a:extLst>
        </xdr:cNvPr>
        <xdr:cNvPicPr>
          <a:picLocks noChangeAspect="1"/>
        </xdr:cNvPicPr>
      </xdr:nvPicPr>
      <xdr:blipFill>
        <a:blip xmlns:r="http://schemas.openxmlformats.org/officeDocument/2006/relationships" r:embed="rId1"/>
        <a:stretch>
          <a:fillRect/>
        </a:stretch>
      </xdr:blipFill>
      <xdr:spPr>
        <a:xfrm>
          <a:off x="266700" y="228600"/>
          <a:ext cx="3063875" cy="879450"/>
        </a:xfrm>
        <a:prstGeom prst="rect">
          <a:avLst/>
        </a:prstGeom>
      </xdr:spPr>
    </xdr:pic>
    <xdr:clientData/>
  </xdr:twoCellAnchor>
  <xdr:twoCellAnchor editAs="oneCell">
    <xdr:from>
      <xdr:col>3</xdr:col>
      <xdr:colOff>4573797</xdr:colOff>
      <xdr:row>6</xdr:row>
      <xdr:rowOff>125802</xdr:rowOff>
    </xdr:from>
    <xdr:to>
      <xdr:col>3</xdr:col>
      <xdr:colOff>5910230</xdr:colOff>
      <xdr:row>8</xdr:row>
      <xdr:rowOff>134788</xdr:rowOff>
    </xdr:to>
    <xdr:pic>
      <xdr:nvPicPr>
        <xdr:cNvPr id="4" name="Picture 3" descr="A close-up of a sign&#10;&#10;Description automatically generated">
          <a:hlinkClick xmlns:r="http://schemas.openxmlformats.org/officeDocument/2006/relationships" r:id="rId2"/>
          <a:extLst>
            <a:ext uri="{FF2B5EF4-FFF2-40B4-BE49-F238E27FC236}">
              <a16:creationId xmlns:a16="http://schemas.microsoft.com/office/drawing/2014/main" id="{9AF7428D-24BD-4BB8-8587-306A3D2BC040}"/>
            </a:ext>
          </a:extLst>
        </xdr:cNvPr>
        <xdr:cNvPicPr>
          <a:picLocks noChangeAspect="1"/>
        </xdr:cNvPicPr>
      </xdr:nvPicPr>
      <xdr:blipFill>
        <a:blip xmlns:r="http://schemas.openxmlformats.org/officeDocument/2006/relationships" r:embed="rId3"/>
        <a:stretch>
          <a:fillRect/>
        </a:stretch>
      </xdr:blipFill>
      <xdr:spPr>
        <a:xfrm>
          <a:off x="5328608" y="1258019"/>
          <a:ext cx="1336433" cy="3684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2555336</xdr:colOff>
      <xdr:row>5</xdr:row>
      <xdr:rowOff>157886</xdr:rowOff>
    </xdr:to>
    <xdr:pic>
      <xdr:nvPicPr>
        <xdr:cNvPr id="4" name="Picture 3" descr="A close-up of a logo&#10;&#10;Description automatically generated">
          <a:extLst>
            <a:ext uri="{FF2B5EF4-FFF2-40B4-BE49-F238E27FC236}">
              <a16:creationId xmlns:a16="http://schemas.microsoft.com/office/drawing/2014/main" id="{7DDFF8B9-4F42-4277-B88D-AF489CFB145D}"/>
            </a:ext>
          </a:extLst>
        </xdr:cNvPr>
        <xdr:cNvPicPr>
          <a:picLocks noChangeAspect="1"/>
        </xdr:cNvPicPr>
      </xdr:nvPicPr>
      <xdr:blipFill>
        <a:blip xmlns:r="http://schemas.openxmlformats.org/officeDocument/2006/relationships" r:embed="rId1"/>
        <a:stretch>
          <a:fillRect/>
        </a:stretch>
      </xdr:blipFill>
      <xdr:spPr>
        <a:xfrm>
          <a:off x="269875" y="238125"/>
          <a:ext cx="3063336" cy="872261"/>
        </a:xfrm>
        <a:prstGeom prst="rect">
          <a:avLst/>
        </a:prstGeom>
      </xdr:spPr>
    </xdr:pic>
    <xdr:clientData/>
  </xdr:twoCellAnchor>
  <xdr:twoCellAnchor editAs="oneCell">
    <xdr:from>
      <xdr:col>7</xdr:col>
      <xdr:colOff>54311</xdr:colOff>
      <xdr:row>6</xdr:row>
      <xdr:rowOff>95250</xdr:rowOff>
    </xdr:from>
    <xdr:to>
      <xdr:col>8</xdr:col>
      <xdr:colOff>483363</xdr:colOff>
      <xdr:row>8</xdr:row>
      <xdr:rowOff>98545</xdr:rowOff>
    </xdr:to>
    <xdr:pic>
      <xdr:nvPicPr>
        <xdr:cNvPr id="5" name="Picture 4" descr="A close-up of a sign&#10;&#10;Description automatically generated">
          <a:hlinkClick xmlns:r="http://schemas.openxmlformats.org/officeDocument/2006/relationships" r:id="rId2"/>
          <a:extLst>
            <a:ext uri="{FF2B5EF4-FFF2-40B4-BE49-F238E27FC236}">
              <a16:creationId xmlns:a16="http://schemas.microsoft.com/office/drawing/2014/main" id="{5C8A31D8-39C6-42ED-9E57-2F0C7121C684}"/>
            </a:ext>
          </a:extLst>
        </xdr:cNvPr>
        <xdr:cNvPicPr>
          <a:picLocks noChangeAspect="1"/>
        </xdr:cNvPicPr>
      </xdr:nvPicPr>
      <xdr:blipFill>
        <a:blip xmlns:r="http://schemas.openxmlformats.org/officeDocument/2006/relationships" r:embed="rId3"/>
        <a:stretch>
          <a:fillRect/>
        </a:stretch>
      </xdr:blipFill>
      <xdr:spPr>
        <a:xfrm>
          <a:off x="7223127" y="1238250"/>
          <a:ext cx="1331420" cy="3742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2577561</xdr:colOff>
      <xdr:row>5</xdr:row>
      <xdr:rowOff>157886</xdr:rowOff>
    </xdr:to>
    <xdr:pic>
      <xdr:nvPicPr>
        <xdr:cNvPr id="3" name="Picture 2" descr="A close-up of a logo&#10;&#10;Description automatically generated">
          <a:extLst>
            <a:ext uri="{FF2B5EF4-FFF2-40B4-BE49-F238E27FC236}">
              <a16:creationId xmlns:a16="http://schemas.microsoft.com/office/drawing/2014/main" id="{1B0F2C2D-D9A3-45DE-AD56-9F2B410963B6}"/>
            </a:ext>
          </a:extLst>
        </xdr:cNvPr>
        <xdr:cNvPicPr>
          <a:picLocks noChangeAspect="1"/>
        </xdr:cNvPicPr>
      </xdr:nvPicPr>
      <xdr:blipFill>
        <a:blip xmlns:r="http://schemas.openxmlformats.org/officeDocument/2006/relationships" r:embed="rId1"/>
        <a:stretch>
          <a:fillRect/>
        </a:stretch>
      </xdr:blipFill>
      <xdr:spPr>
        <a:xfrm>
          <a:off x="657225" y="238125"/>
          <a:ext cx="3063336" cy="8722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2400300</xdr:colOff>
      <xdr:row>5</xdr:row>
      <xdr:rowOff>152281</xdr:rowOff>
    </xdr:to>
    <xdr:pic>
      <xdr:nvPicPr>
        <xdr:cNvPr id="3" name="Picture 2" descr="A close-up of a logo&#10;&#10;Description automatically generated">
          <a:extLst>
            <a:ext uri="{FF2B5EF4-FFF2-40B4-BE49-F238E27FC236}">
              <a16:creationId xmlns:a16="http://schemas.microsoft.com/office/drawing/2014/main" id="{6F7F41EC-BA60-48AB-B89C-BAF7BFE5E167}"/>
            </a:ext>
          </a:extLst>
        </xdr:cNvPr>
        <xdr:cNvPicPr>
          <a:picLocks noChangeAspect="1"/>
        </xdr:cNvPicPr>
      </xdr:nvPicPr>
      <xdr:blipFill>
        <a:blip xmlns:r="http://schemas.openxmlformats.org/officeDocument/2006/relationships" r:embed="rId1"/>
        <a:stretch>
          <a:fillRect/>
        </a:stretch>
      </xdr:blipFill>
      <xdr:spPr>
        <a:xfrm>
          <a:off x="314325" y="238125"/>
          <a:ext cx="2886075" cy="8666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2056159</xdr:colOff>
      <xdr:row>5</xdr:row>
      <xdr:rowOff>172750</xdr:rowOff>
    </xdr:to>
    <xdr:pic>
      <xdr:nvPicPr>
        <xdr:cNvPr id="4" name="Picture 3" descr="A close-up of a logo&#10;&#10;Description automatically generated">
          <a:extLst>
            <a:ext uri="{FF2B5EF4-FFF2-40B4-BE49-F238E27FC236}">
              <a16:creationId xmlns:a16="http://schemas.microsoft.com/office/drawing/2014/main" id="{3F85A765-31BA-409B-AE14-71E23D08F4FB}"/>
            </a:ext>
          </a:extLst>
        </xdr:cNvPr>
        <xdr:cNvPicPr>
          <a:picLocks noChangeAspect="1"/>
        </xdr:cNvPicPr>
      </xdr:nvPicPr>
      <xdr:blipFill>
        <a:blip xmlns:r="http://schemas.openxmlformats.org/officeDocument/2006/relationships" r:embed="rId1"/>
        <a:stretch>
          <a:fillRect/>
        </a:stretch>
      </xdr:blipFill>
      <xdr:spPr>
        <a:xfrm>
          <a:off x="314326" y="238126"/>
          <a:ext cx="2800350" cy="8871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1905000</xdr:colOff>
      <xdr:row>5</xdr:row>
      <xdr:rowOff>173077</xdr:rowOff>
    </xdr:to>
    <xdr:pic>
      <xdr:nvPicPr>
        <xdr:cNvPr id="2" name="Picture 1" descr="A close-up of a logo&#10;&#10;Description automatically generated">
          <a:extLst>
            <a:ext uri="{FF2B5EF4-FFF2-40B4-BE49-F238E27FC236}">
              <a16:creationId xmlns:a16="http://schemas.microsoft.com/office/drawing/2014/main" id="{369F3542-43B9-412B-B488-048EC34EBF6F}"/>
            </a:ext>
          </a:extLst>
        </xdr:cNvPr>
        <xdr:cNvPicPr>
          <a:picLocks noChangeAspect="1"/>
        </xdr:cNvPicPr>
      </xdr:nvPicPr>
      <xdr:blipFill>
        <a:blip xmlns:r="http://schemas.openxmlformats.org/officeDocument/2006/relationships" r:embed="rId1"/>
        <a:stretch>
          <a:fillRect/>
        </a:stretch>
      </xdr:blipFill>
      <xdr:spPr>
        <a:xfrm>
          <a:off x="657226" y="238126"/>
          <a:ext cx="2657474" cy="88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urseinfo@ccim.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D437-77D9-40E3-B845-2B342A98682F}">
  <sheetPr>
    <tabColor rgb="FF008000"/>
  </sheetPr>
  <dimension ref="B1:K70"/>
  <sheetViews>
    <sheetView showGridLines="0" showRowColHeaders="0" tabSelected="1" zoomScaleNormal="100" zoomScaleSheetLayoutView="100" workbookViewId="0">
      <selection activeCell="D41" sqref="D41:I42"/>
    </sheetView>
  </sheetViews>
  <sheetFormatPr defaultColWidth="10.36328125" defaultRowHeight="15.5" x14ac:dyDescent="0.35"/>
  <cols>
    <col min="1" max="1" width="3.453125" style="63" customWidth="1"/>
    <col min="2" max="2" width="4.36328125" style="63" customWidth="1"/>
    <col min="3" max="3" width="6.36328125" style="63" customWidth="1"/>
    <col min="4" max="4" width="19.81640625" style="63" customWidth="1"/>
    <col min="5" max="5" width="48.453125" style="63" customWidth="1"/>
    <col min="6" max="6" width="19.81640625" style="63" customWidth="1"/>
    <col min="7" max="9" width="10.36328125" style="63"/>
    <col min="10" max="10" width="6.36328125" style="63" customWidth="1"/>
    <col min="11" max="11" width="4.36328125" style="63" customWidth="1"/>
    <col min="12" max="16384" width="10.36328125" style="63"/>
  </cols>
  <sheetData>
    <row r="1" spans="2:11" ht="16" thickBot="1" x14ac:dyDescent="0.4"/>
    <row r="2" spans="2:11" ht="15" customHeight="1" thickTop="1" x14ac:dyDescent="0.35">
      <c r="B2" s="64"/>
      <c r="C2" s="65"/>
      <c r="D2" s="65"/>
      <c r="E2" s="65"/>
      <c r="F2" s="65"/>
      <c r="G2" s="65"/>
      <c r="H2" s="65"/>
      <c r="I2" s="65"/>
      <c r="J2" s="65"/>
      <c r="K2" s="66"/>
    </row>
    <row r="3" spans="2:11" ht="15" customHeight="1" x14ac:dyDescent="0.85">
      <c r="B3" s="67"/>
      <c r="C3" s="68"/>
      <c r="D3" s="68"/>
      <c r="E3" s="69"/>
      <c r="F3" s="194" t="s">
        <v>252</v>
      </c>
      <c r="G3" s="194"/>
      <c r="H3" s="194"/>
      <c r="I3" s="194"/>
      <c r="J3" s="194"/>
      <c r="K3" s="70"/>
    </row>
    <row r="4" spans="2:11" ht="15" customHeight="1" x14ac:dyDescent="0.85">
      <c r="B4" s="67"/>
      <c r="C4" s="68"/>
      <c r="D4" s="68"/>
      <c r="E4" s="69"/>
      <c r="F4" s="194"/>
      <c r="G4" s="194"/>
      <c r="H4" s="194"/>
      <c r="I4" s="194"/>
      <c r="J4" s="194"/>
      <c r="K4" s="70"/>
    </row>
    <row r="5" spans="2:11" ht="15" customHeight="1" x14ac:dyDescent="0.85">
      <c r="B5" s="67"/>
      <c r="C5" s="68"/>
      <c r="D5" s="68"/>
      <c r="E5" s="69"/>
      <c r="F5" s="194"/>
      <c r="G5" s="194"/>
      <c r="H5" s="194"/>
      <c r="I5" s="194"/>
      <c r="J5" s="194"/>
      <c r="K5" s="70"/>
    </row>
    <row r="6" spans="2:11" ht="15" customHeight="1" thickBot="1" x14ac:dyDescent="0.4">
      <c r="B6" s="71"/>
      <c r="C6" s="72"/>
      <c r="D6" s="72"/>
      <c r="E6" s="72"/>
      <c r="F6" s="72"/>
      <c r="G6" s="72"/>
      <c r="H6" s="72"/>
      <c r="I6" s="72"/>
      <c r="J6" s="72"/>
      <c r="K6" s="73"/>
    </row>
    <row r="7" spans="2:11" ht="15" customHeight="1" thickTop="1" x14ac:dyDescent="0.35">
      <c r="B7" s="74"/>
      <c r="C7" s="75"/>
      <c r="D7" s="75"/>
      <c r="E7" s="75"/>
      <c r="F7" s="75"/>
      <c r="G7" s="75"/>
      <c r="H7" s="75"/>
      <c r="I7" s="75"/>
      <c r="J7" s="75"/>
      <c r="K7" s="76"/>
    </row>
    <row r="8" spans="2:11" ht="15" customHeight="1" x14ac:dyDescent="0.35">
      <c r="B8" s="77"/>
      <c r="K8" s="78"/>
    </row>
    <row r="9" spans="2:11" ht="15" customHeight="1" x14ac:dyDescent="0.35">
      <c r="B9" s="77"/>
      <c r="D9" s="79" t="s">
        <v>253</v>
      </c>
      <c r="E9" s="80"/>
      <c r="K9" s="78"/>
    </row>
    <row r="10" spans="2:11" ht="15" customHeight="1" x14ac:dyDescent="0.35">
      <c r="B10" s="77"/>
      <c r="D10" s="81" t="s">
        <v>254</v>
      </c>
      <c r="E10" s="82">
        <v>45730</v>
      </c>
      <c r="K10" s="78"/>
    </row>
    <row r="11" spans="2:11" ht="15" customHeight="1" x14ac:dyDescent="0.35">
      <c r="B11" s="77"/>
      <c r="D11" s="83" t="s">
        <v>255</v>
      </c>
      <c r="E11" s="84" t="s">
        <v>303</v>
      </c>
      <c r="K11" s="78"/>
    </row>
    <row r="12" spans="2:11" ht="15" customHeight="1" x14ac:dyDescent="0.35">
      <c r="B12" s="77"/>
      <c r="D12" s="83" t="s">
        <v>256</v>
      </c>
      <c r="E12" s="244" t="s">
        <v>304</v>
      </c>
      <c r="K12" s="78"/>
    </row>
    <row r="13" spans="2:11" ht="15" customHeight="1" x14ac:dyDescent="0.35">
      <c r="B13" s="77"/>
      <c r="D13" s="85" t="s">
        <v>257</v>
      </c>
      <c r="E13" s="86" t="s">
        <v>295</v>
      </c>
      <c r="K13" s="78"/>
    </row>
    <row r="14" spans="2:11" ht="15" customHeight="1" x14ac:dyDescent="0.35">
      <c r="B14" s="77"/>
      <c r="K14" s="78"/>
    </row>
    <row r="15" spans="2:11" ht="15" customHeight="1" x14ac:dyDescent="0.35">
      <c r="B15" s="77"/>
      <c r="K15" s="78"/>
    </row>
    <row r="16" spans="2:11" ht="15" customHeight="1" x14ac:dyDescent="0.35">
      <c r="B16" s="77"/>
      <c r="D16" s="87" t="s">
        <v>258</v>
      </c>
      <c r="K16" s="78"/>
    </row>
    <row r="17" spans="2:11" ht="15" customHeight="1" x14ac:dyDescent="0.35">
      <c r="B17" s="77"/>
      <c r="D17" s="88" t="s">
        <v>259</v>
      </c>
      <c r="K17" s="78"/>
    </row>
    <row r="18" spans="2:11" ht="15" customHeight="1" x14ac:dyDescent="0.35">
      <c r="B18" s="77"/>
      <c r="D18" s="88" t="s">
        <v>260</v>
      </c>
      <c r="K18" s="78"/>
    </row>
    <row r="19" spans="2:11" ht="15" customHeight="1" x14ac:dyDescent="0.35">
      <c r="B19" s="77"/>
      <c r="D19" s="88" t="s">
        <v>261</v>
      </c>
      <c r="K19" s="78"/>
    </row>
    <row r="20" spans="2:11" ht="15" customHeight="1" x14ac:dyDescent="0.35">
      <c r="B20" s="77"/>
      <c r="D20" s="88" t="s">
        <v>262</v>
      </c>
      <c r="K20" s="78"/>
    </row>
    <row r="21" spans="2:11" ht="15" customHeight="1" x14ac:dyDescent="0.35">
      <c r="B21" s="77"/>
      <c r="K21" s="78"/>
    </row>
    <row r="22" spans="2:11" ht="15" customHeight="1" thickBot="1" x14ac:dyDescent="0.4">
      <c r="B22" s="77"/>
      <c r="K22" s="78"/>
    </row>
    <row r="23" spans="2:11" ht="15" customHeight="1" x14ac:dyDescent="0.35">
      <c r="B23" s="77"/>
      <c r="C23" s="94"/>
      <c r="D23" s="95"/>
      <c r="E23" s="95"/>
      <c r="F23" s="95"/>
      <c r="G23" s="95"/>
      <c r="H23" s="95"/>
      <c r="I23" s="95"/>
      <c r="J23" s="96"/>
      <c r="K23" s="78"/>
    </row>
    <row r="24" spans="2:11" ht="15" customHeight="1" x14ac:dyDescent="0.35">
      <c r="B24" s="77"/>
      <c r="C24" s="97"/>
      <c r="D24" s="195" t="s">
        <v>263</v>
      </c>
      <c r="E24" s="195"/>
      <c r="F24" s="195"/>
      <c r="G24" s="195"/>
      <c r="H24" s="195"/>
      <c r="I24" s="195"/>
      <c r="J24" s="98"/>
      <c r="K24" s="78"/>
    </row>
    <row r="25" spans="2:11" ht="15" customHeight="1" x14ac:dyDescent="0.35">
      <c r="B25" s="77"/>
      <c r="C25" s="97"/>
      <c r="D25" s="195"/>
      <c r="E25" s="195"/>
      <c r="F25" s="195"/>
      <c r="G25" s="195"/>
      <c r="H25" s="195"/>
      <c r="I25" s="195"/>
      <c r="J25" s="98"/>
      <c r="K25" s="78"/>
    </row>
    <row r="26" spans="2:11" ht="15" customHeight="1" x14ac:dyDescent="0.35">
      <c r="B26" s="77"/>
      <c r="C26" s="97"/>
      <c r="D26" s="196" t="s">
        <v>264</v>
      </c>
      <c r="E26" s="196"/>
      <c r="F26" s="196"/>
      <c r="G26" s="196"/>
      <c r="H26" s="196"/>
      <c r="I26" s="196"/>
      <c r="J26" s="98"/>
      <c r="K26" s="78"/>
    </row>
    <row r="27" spans="2:11" ht="15" customHeight="1" x14ac:dyDescent="0.35">
      <c r="B27" s="77"/>
      <c r="C27" s="97"/>
      <c r="D27" s="196"/>
      <c r="E27" s="196"/>
      <c r="F27" s="196"/>
      <c r="G27" s="196"/>
      <c r="H27" s="196"/>
      <c r="I27" s="196"/>
      <c r="J27" s="98"/>
      <c r="K27" s="78"/>
    </row>
    <row r="28" spans="2:11" ht="15" customHeight="1" x14ac:dyDescent="0.35">
      <c r="B28" s="77"/>
      <c r="C28" s="97"/>
      <c r="D28" s="196"/>
      <c r="E28" s="196"/>
      <c r="F28" s="196"/>
      <c r="G28" s="196"/>
      <c r="H28" s="196"/>
      <c r="I28" s="196"/>
      <c r="J28" s="98"/>
      <c r="K28" s="78"/>
    </row>
    <row r="29" spans="2:11" ht="15" customHeight="1" x14ac:dyDescent="0.35">
      <c r="B29" s="77"/>
      <c r="C29" s="97"/>
      <c r="D29" s="196"/>
      <c r="E29" s="196"/>
      <c r="F29" s="196"/>
      <c r="G29" s="196"/>
      <c r="H29" s="196"/>
      <c r="I29" s="196"/>
      <c r="J29" s="98"/>
      <c r="K29" s="78"/>
    </row>
    <row r="30" spans="2:11" ht="15" customHeight="1" x14ac:dyDescent="0.35">
      <c r="B30" s="77"/>
      <c r="C30" s="97"/>
      <c r="D30" s="196"/>
      <c r="E30" s="196"/>
      <c r="F30" s="196"/>
      <c r="G30" s="196"/>
      <c r="H30" s="196"/>
      <c r="I30" s="196"/>
      <c r="J30" s="98"/>
      <c r="K30" s="78"/>
    </row>
    <row r="31" spans="2:11" ht="15" customHeight="1" x14ac:dyDescent="0.35">
      <c r="B31" s="77"/>
      <c r="C31" s="97"/>
      <c r="D31" s="196"/>
      <c r="E31" s="196"/>
      <c r="F31" s="196"/>
      <c r="G31" s="196"/>
      <c r="H31" s="196"/>
      <c r="I31" s="196"/>
      <c r="J31" s="98"/>
      <c r="K31" s="78"/>
    </row>
    <row r="32" spans="2:11" ht="15" customHeight="1" x14ac:dyDescent="0.35">
      <c r="B32" s="77"/>
      <c r="C32" s="97"/>
      <c r="D32" s="196"/>
      <c r="E32" s="196"/>
      <c r="F32" s="196"/>
      <c r="G32" s="196"/>
      <c r="H32" s="196"/>
      <c r="I32" s="196"/>
      <c r="J32" s="98"/>
      <c r="K32" s="78"/>
    </row>
    <row r="33" spans="2:11" ht="15" customHeight="1" x14ac:dyDescent="0.35">
      <c r="B33" s="77"/>
      <c r="C33" s="97"/>
      <c r="D33" s="196"/>
      <c r="E33" s="196"/>
      <c r="F33" s="196"/>
      <c r="G33" s="196"/>
      <c r="H33" s="196"/>
      <c r="I33" s="196"/>
      <c r="J33" s="98"/>
      <c r="K33" s="78"/>
    </row>
    <row r="34" spans="2:11" ht="15" customHeight="1" x14ac:dyDescent="0.35">
      <c r="B34" s="77"/>
      <c r="C34" s="97"/>
      <c r="D34" s="196"/>
      <c r="E34" s="196"/>
      <c r="F34" s="196"/>
      <c r="G34" s="196"/>
      <c r="H34" s="196"/>
      <c r="I34" s="196"/>
      <c r="J34" s="98"/>
      <c r="K34" s="78"/>
    </row>
    <row r="35" spans="2:11" ht="15" customHeight="1" x14ac:dyDescent="0.35">
      <c r="B35" s="77"/>
      <c r="C35" s="97"/>
      <c r="D35" s="196"/>
      <c r="E35" s="196"/>
      <c r="F35" s="196"/>
      <c r="G35" s="196"/>
      <c r="H35" s="196"/>
      <c r="I35" s="196"/>
      <c r="J35" s="98"/>
      <c r="K35" s="78"/>
    </row>
    <row r="36" spans="2:11" ht="15" customHeight="1" x14ac:dyDescent="0.35">
      <c r="B36" s="77"/>
      <c r="C36" s="97"/>
      <c r="D36" s="196"/>
      <c r="E36" s="196"/>
      <c r="F36" s="196"/>
      <c r="G36" s="196"/>
      <c r="H36" s="196"/>
      <c r="I36" s="196"/>
      <c r="J36" s="98"/>
      <c r="K36" s="78"/>
    </row>
    <row r="37" spans="2:11" ht="15" customHeight="1" x14ac:dyDescent="0.35">
      <c r="B37" s="77"/>
      <c r="C37" s="97"/>
      <c r="D37" s="196"/>
      <c r="E37" s="196"/>
      <c r="F37" s="196"/>
      <c r="G37" s="196"/>
      <c r="H37" s="196"/>
      <c r="I37" s="196"/>
      <c r="J37" s="98"/>
      <c r="K37" s="78"/>
    </row>
    <row r="38" spans="2:11" ht="15" customHeight="1" x14ac:dyDescent="0.35">
      <c r="B38" s="77"/>
      <c r="C38" s="97"/>
      <c r="D38" s="196"/>
      <c r="E38" s="196"/>
      <c r="F38" s="196"/>
      <c r="G38" s="196"/>
      <c r="H38" s="196"/>
      <c r="I38" s="196"/>
      <c r="J38" s="98"/>
      <c r="K38" s="78"/>
    </row>
    <row r="39" spans="2:11" ht="15" customHeight="1" x14ac:dyDescent="0.35">
      <c r="B39" s="77"/>
      <c r="C39" s="97"/>
      <c r="D39" s="196"/>
      <c r="E39" s="196"/>
      <c r="F39" s="196"/>
      <c r="G39" s="196"/>
      <c r="H39" s="196"/>
      <c r="I39" s="196"/>
      <c r="J39" s="98"/>
      <c r="K39" s="78"/>
    </row>
    <row r="40" spans="2:11" ht="15" customHeight="1" x14ac:dyDescent="0.35">
      <c r="B40" s="77"/>
      <c r="C40" s="97"/>
      <c r="D40" s="99"/>
      <c r="E40" s="99"/>
      <c r="F40" s="99"/>
      <c r="G40" s="99"/>
      <c r="H40" s="99"/>
      <c r="I40" s="99"/>
      <c r="J40" s="98"/>
      <c r="K40" s="78"/>
    </row>
    <row r="41" spans="2:11" ht="15" customHeight="1" x14ac:dyDescent="0.35">
      <c r="B41" s="77"/>
      <c r="C41" s="100"/>
      <c r="D41" s="197" t="str">
        <f>_xlfn.CONCAT("'Reprinted with permission of The CCIM Institute / Copyright 2016, updated 3/14/2025' CCIM Feasibility Analysis ",E13,"
© Copyright 2016 by the CCIM Institute.  All rights reserved.")</f>
        <v>'Reprinted with permission of The CCIM Institute / Copyright 2016, updated 3/14/2025' CCIM Feasibility Analysis Version 9.0
© Copyright 2016 by the CCIM Institute.  All rights reserved.</v>
      </c>
      <c r="E41" s="197"/>
      <c r="F41" s="197"/>
      <c r="G41" s="197"/>
      <c r="H41" s="197"/>
      <c r="I41" s="197"/>
      <c r="J41" s="101"/>
      <c r="K41" s="78"/>
    </row>
    <row r="42" spans="2:11" ht="15" customHeight="1" x14ac:dyDescent="0.35">
      <c r="B42" s="77"/>
      <c r="C42" s="100"/>
      <c r="D42" s="197"/>
      <c r="E42" s="197"/>
      <c r="F42" s="197"/>
      <c r="G42" s="197"/>
      <c r="H42" s="197"/>
      <c r="I42" s="197"/>
      <c r="J42" s="101"/>
      <c r="K42" s="78"/>
    </row>
    <row r="43" spans="2:11" ht="15" customHeight="1" thickBot="1" x14ac:dyDescent="0.4">
      <c r="B43" s="77"/>
      <c r="C43" s="102"/>
      <c r="D43" s="103"/>
      <c r="E43" s="103"/>
      <c r="F43" s="103"/>
      <c r="G43" s="103"/>
      <c r="H43" s="103"/>
      <c r="I43" s="103"/>
      <c r="J43" s="104"/>
      <c r="K43" s="78"/>
    </row>
    <row r="44" spans="2:11" ht="15" customHeight="1" x14ac:dyDescent="0.35">
      <c r="B44" s="77"/>
      <c r="K44" s="78"/>
    </row>
    <row r="45" spans="2:11" ht="15" customHeight="1" x14ac:dyDescent="0.35">
      <c r="B45" s="77"/>
      <c r="K45" s="78"/>
    </row>
    <row r="46" spans="2:11" ht="15" customHeight="1" x14ac:dyDescent="0.35">
      <c r="B46" s="77"/>
      <c r="C46" s="89"/>
      <c r="K46" s="78"/>
    </row>
    <row r="47" spans="2:11" ht="15" customHeight="1" x14ac:dyDescent="0.35">
      <c r="B47" s="77"/>
      <c r="C47" s="89"/>
      <c r="K47" s="78"/>
    </row>
    <row r="48" spans="2:11" ht="15" customHeight="1" x14ac:dyDescent="0.35">
      <c r="B48" s="77"/>
      <c r="C48" s="89"/>
      <c r="K48" s="78"/>
    </row>
    <row r="49" spans="2:11" ht="15" customHeight="1" x14ac:dyDescent="0.35">
      <c r="B49" s="77"/>
      <c r="C49" s="89"/>
      <c r="K49" s="78"/>
    </row>
    <row r="50" spans="2:11" ht="15" customHeight="1" x14ac:dyDescent="0.35">
      <c r="B50" s="77"/>
      <c r="C50" s="89"/>
      <c r="K50" s="78"/>
    </row>
    <row r="51" spans="2:11" ht="15" customHeight="1" x14ac:dyDescent="0.35">
      <c r="B51" s="77"/>
      <c r="C51" s="89"/>
      <c r="K51" s="78"/>
    </row>
    <row r="52" spans="2:11" ht="15" customHeight="1" x14ac:dyDescent="0.35">
      <c r="B52" s="77"/>
      <c r="C52" s="89"/>
      <c r="K52" s="78"/>
    </row>
    <row r="53" spans="2:11" ht="15" customHeight="1" x14ac:dyDescent="0.35">
      <c r="B53" s="77"/>
      <c r="C53" s="89"/>
      <c r="K53" s="78"/>
    </row>
    <row r="54" spans="2:11" ht="15" customHeight="1" x14ac:dyDescent="0.35">
      <c r="B54" s="77"/>
      <c r="C54" s="89"/>
      <c r="K54" s="78"/>
    </row>
    <row r="55" spans="2:11" ht="15" customHeight="1" x14ac:dyDescent="0.35">
      <c r="B55" s="77"/>
      <c r="C55" s="89"/>
      <c r="K55" s="78"/>
    </row>
    <row r="56" spans="2:11" ht="15" customHeight="1" x14ac:dyDescent="0.35">
      <c r="B56" s="77"/>
      <c r="C56" s="89"/>
      <c r="K56" s="78"/>
    </row>
    <row r="57" spans="2:11" ht="15" customHeight="1" x14ac:dyDescent="0.35">
      <c r="B57" s="77"/>
      <c r="K57" s="78"/>
    </row>
    <row r="58" spans="2:11" ht="15" customHeight="1" x14ac:dyDescent="0.35">
      <c r="B58" s="77"/>
      <c r="K58" s="78"/>
    </row>
    <row r="59" spans="2:11" ht="15" customHeight="1" x14ac:dyDescent="0.35">
      <c r="B59" s="77"/>
      <c r="K59" s="78"/>
    </row>
    <row r="60" spans="2:11" ht="15" customHeight="1" x14ac:dyDescent="0.35">
      <c r="B60" s="77"/>
      <c r="K60" s="78"/>
    </row>
    <row r="61" spans="2:11" ht="15" customHeight="1" x14ac:dyDescent="0.35">
      <c r="B61" s="77"/>
      <c r="K61" s="78"/>
    </row>
    <row r="62" spans="2:11" ht="15" customHeight="1" x14ac:dyDescent="0.35">
      <c r="B62" s="77"/>
      <c r="K62" s="78"/>
    </row>
    <row r="63" spans="2:11" ht="15" customHeight="1" x14ac:dyDescent="0.35">
      <c r="B63" s="77"/>
      <c r="K63" s="78"/>
    </row>
    <row r="64" spans="2:11" ht="15" customHeight="1" x14ac:dyDescent="0.35">
      <c r="B64" s="77"/>
      <c r="K64" s="78"/>
    </row>
    <row r="65" spans="2:11" ht="15" customHeight="1" x14ac:dyDescent="0.35">
      <c r="B65" s="77"/>
      <c r="K65" s="78"/>
    </row>
    <row r="66" spans="2:11" ht="15" customHeight="1" x14ac:dyDescent="0.35">
      <c r="B66" s="77"/>
      <c r="K66" s="78"/>
    </row>
    <row r="67" spans="2:11" ht="15" customHeight="1" x14ac:dyDescent="0.35">
      <c r="B67" s="77"/>
      <c r="K67" s="78"/>
    </row>
    <row r="68" spans="2:11" ht="15" customHeight="1" x14ac:dyDescent="0.35">
      <c r="B68" s="77"/>
      <c r="C68" s="63" t="str">
        <f>E13</f>
        <v>Version 9.0</v>
      </c>
      <c r="J68" s="90" t="s">
        <v>265</v>
      </c>
      <c r="K68" s="78"/>
    </row>
    <row r="69" spans="2:11" ht="15" customHeight="1" thickBot="1" x14ac:dyDescent="0.4">
      <c r="B69" s="91"/>
      <c r="C69" s="92"/>
      <c r="D69" s="92"/>
      <c r="E69" s="92"/>
      <c r="F69" s="92"/>
      <c r="G69" s="92"/>
      <c r="H69" s="92"/>
      <c r="I69" s="92"/>
      <c r="J69" s="92"/>
      <c r="K69" s="93"/>
    </row>
    <row r="70" spans="2:11" ht="16" thickTop="1" x14ac:dyDescent="0.35"/>
  </sheetData>
  <sheetProtection algorithmName="SHA-512" hashValue="ouZChxklgZEjKZdPdjGI3BPkN/MKYvE5obsMOqsx5AD0SHnVhm/8WgXdSwA08QmGGytG5o5dC2VR1D3kr9xarw==" saltValue="1Kubp76bFefnm+1MKth9Cg==" spinCount="100000" sheet="1" selectLockedCells="1" selectUnlockedCells="1"/>
  <mergeCells count="4">
    <mergeCell ref="F3:J5"/>
    <mergeCell ref="D24:I25"/>
    <mergeCell ref="D26:I39"/>
    <mergeCell ref="D41:I42"/>
  </mergeCells>
  <hyperlinks>
    <hyperlink ref="E12" r:id="rId1" xr:uid="{4B1B2268-3D4B-4B65-81CE-6698CE5A1E27}"/>
  </hyperlinks>
  <printOptions horizontalCentered="1" verticalCentered="1"/>
  <pageMargins left="0" right="0" top="0" bottom="0" header="0" footer="0"/>
  <pageSetup scale="7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93A8-4E0F-4B81-98AB-0C28006BC390}">
  <sheetPr>
    <tabColor theme="7" tint="0.59999389629810485"/>
  </sheetPr>
  <dimension ref="B1:P70"/>
  <sheetViews>
    <sheetView showGridLines="0" showRowColHeaders="0" zoomScaleNormal="100" workbookViewId="0">
      <selection activeCell="E64" sqref="E64"/>
    </sheetView>
  </sheetViews>
  <sheetFormatPr defaultColWidth="9.1796875" defaultRowHeight="14" x14ac:dyDescent="0.3"/>
  <cols>
    <col min="1" max="2" width="4" style="1" customWidth="1"/>
    <col min="3" max="3" width="4" style="6" customWidth="1"/>
    <col min="4" max="4" width="39.453125" style="1" customWidth="1"/>
    <col min="5" max="15" width="16" style="1" customWidth="1"/>
    <col min="16" max="16" width="4" style="1" customWidth="1"/>
    <col min="17" max="16384" width="9.1796875" style="1"/>
  </cols>
  <sheetData>
    <row r="1" spans="2:16" ht="14.5" thickBot="1" x14ac:dyDescent="0.35"/>
    <row r="2" spans="2:16" ht="15" customHeight="1" thickTop="1" x14ac:dyDescent="0.35">
      <c r="B2" s="110"/>
      <c r="C2" s="111"/>
      <c r="D2" s="111"/>
      <c r="E2" s="111"/>
      <c r="F2" s="111"/>
      <c r="G2" s="111"/>
      <c r="H2" s="111"/>
      <c r="I2" s="111"/>
      <c r="J2" s="111"/>
      <c r="K2" s="111"/>
      <c r="L2" s="111"/>
      <c r="M2" s="111"/>
      <c r="N2" s="111"/>
      <c r="O2" s="111"/>
      <c r="P2" s="112"/>
    </row>
    <row r="3" spans="2:16" ht="15" customHeight="1" x14ac:dyDescent="0.7">
      <c r="B3" s="113"/>
      <c r="C3" s="114"/>
      <c r="D3" s="114"/>
      <c r="E3" s="114"/>
      <c r="F3" s="114"/>
      <c r="G3" s="114"/>
      <c r="H3" s="114"/>
      <c r="I3" s="114"/>
      <c r="J3" s="217" t="s">
        <v>205</v>
      </c>
      <c r="K3" s="217"/>
      <c r="L3" s="217"/>
      <c r="M3" s="217"/>
      <c r="N3" s="217"/>
      <c r="O3" s="217"/>
      <c r="P3" s="115"/>
    </row>
    <row r="4" spans="2:16" ht="15" customHeight="1" x14ac:dyDescent="0.7">
      <c r="B4" s="113"/>
      <c r="C4" s="114"/>
      <c r="D4" s="114"/>
      <c r="E4" s="114"/>
      <c r="F4" s="114"/>
      <c r="G4" s="114"/>
      <c r="H4" s="114"/>
      <c r="I4" s="114"/>
      <c r="J4" s="217"/>
      <c r="K4" s="217"/>
      <c r="L4" s="217"/>
      <c r="M4" s="217"/>
      <c r="N4" s="217"/>
      <c r="O4" s="217"/>
      <c r="P4" s="115"/>
    </row>
    <row r="5" spans="2:16" ht="15" customHeight="1" x14ac:dyDescent="0.7">
      <c r="B5" s="113"/>
      <c r="C5" s="114"/>
      <c r="D5" s="114"/>
      <c r="E5" s="114"/>
      <c r="F5" s="114"/>
      <c r="G5" s="114"/>
      <c r="H5" s="114"/>
      <c r="I5" s="114"/>
      <c r="J5" s="217"/>
      <c r="K5" s="217"/>
      <c r="L5" s="217"/>
      <c r="M5" s="217"/>
      <c r="N5" s="217"/>
      <c r="O5" s="217"/>
      <c r="P5" s="115"/>
    </row>
    <row r="6" spans="2:16" ht="15" customHeight="1" thickBot="1" x14ac:dyDescent="0.4">
      <c r="B6" s="116"/>
      <c r="C6" s="117"/>
      <c r="D6" s="117"/>
      <c r="E6" s="117"/>
      <c r="F6" s="117"/>
      <c r="G6" s="117"/>
      <c r="H6" s="117"/>
      <c r="I6" s="117"/>
      <c r="J6" s="117"/>
      <c r="K6" s="117"/>
      <c r="L6" s="117"/>
      <c r="M6" s="117"/>
      <c r="N6" s="117"/>
      <c r="O6" s="117"/>
      <c r="P6" s="118"/>
    </row>
    <row r="7" spans="2:16" ht="15" customHeight="1" thickTop="1" x14ac:dyDescent="0.55000000000000004">
      <c r="B7" s="136"/>
      <c r="C7" s="219" t="s">
        <v>205</v>
      </c>
      <c r="D7" s="219"/>
      <c r="E7" s="219"/>
      <c r="F7" s="219"/>
      <c r="G7" s="219"/>
      <c r="H7" s="141"/>
      <c r="I7" s="141"/>
      <c r="J7" s="141"/>
      <c r="K7" s="141"/>
      <c r="L7" s="141"/>
      <c r="M7" s="141"/>
      <c r="N7" s="141"/>
      <c r="O7" s="141"/>
      <c r="P7" s="142"/>
    </row>
    <row r="8" spans="2:16" ht="14.25" customHeight="1" x14ac:dyDescent="0.55000000000000004">
      <c r="B8" s="125"/>
      <c r="C8" s="221"/>
      <c r="D8" s="221"/>
      <c r="E8" s="221"/>
      <c r="F8" s="221"/>
      <c r="G8" s="221"/>
      <c r="H8" s="143"/>
      <c r="I8" s="143"/>
      <c r="J8" s="143"/>
      <c r="K8" s="143"/>
      <c r="L8" s="143"/>
      <c r="M8" s="143"/>
      <c r="N8" s="143"/>
      <c r="O8" s="143"/>
      <c r="P8" s="126"/>
    </row>
    <row r="9" spans="2:16" ht="14.25" customHeight="1" x14ac:dyDescent="0.55000000000000004">
      <c r="B9" s="125"/>
      <c r="C9" s="224"/>
      <c r="D9" s="224"/>
      <c r="E9" s="224"/>
      <c r="F9" s="224"/>
      <c r="G9" s="224"/>
      <c r="H9" s="53"/>
      <c r="I9" s="53"/>
      <c r="J9" s="53"/>
      <c r="K9" s="53"/>
      <c r="L9" s="53"/>
      <c r="M9" s="53"/>
      <c r="N9" s="53"/>
      <c r="O9" s="53"/>
      <c r="P9" s="126"/>
    </row>
    <row r="10" spans="2:16" x14ac:dyDescent="0.3">
      <c r="B10" s="125"/>
      <c r="C10" s="204" t="s">
        <v>169</v>
      </c>
      <c r="D10" s="205"/>
      <c r="E10" s="205"/>
      <c r="F10" s="205"/>
      <c r="G10" s="205"/>
      <c r="H10" s="205"/>
      <c r="I10" s="205"/>
      <c r="J10" s="205"/>
      <c r="K10" s="205"/>
      <c r="L10" s="205"/>
      <c r="M10" s="205"/>
      <c r="N10" s="205"/>
      <c r="O10" s="206"/>
      <c r="P10" s="126"/>
    </row>
    <row r="11" spans="2:16" x14ac:dyDescent="0.3">
      <c r="B11" s="125"/>
      <c r="C11" s="15" t="s">
        <v>75</v>
      </c>
      <c r="D11" s="13"/>
      <c r="E11" s="14">
        <v>1</v>
      </c>
      <c r="F11" s="14">
        <v>2</v>
      </c>
      <c r="G11" s="14">
        <v>3</v>
      </c>
      <c r="H11" s="14">
        <v>4</v>
      </c>
      <c r="I11" s="14">
        <v>5</v>
      </c>
      <c r="J11" s="14">
        <v>6</v>
      </c>
      <c r="K11" s="14">
        <v>7</v>
      </c>
      <c r="L11" s="14">
        <v>8</v>
      </c>
      <c r="M11" s="14">
        <v>9</v>
      </c>
      <c r="N11" s="14">
        <v>10</v>
      </c>
      <c r="O11" s="14">
        <v>11</v>
      </c>
      <c r="P11" s="126"/>
    </row>
    <row r="12" spans="2:16" x14ac:dyDescent="0.3">
      <c r="B12" s="125"/>
      <c r="C12" s="7">
        <v>1</v>
      </c>
      <c r="D12" s="8" t="s">
        <v>95</v>
      </c>
      <c r="E12" s="21">
        <f>'(4)Income &amp; Expense Input'!E12*'(4)Income &amp; Expense Input'!E13</f>
        <v>4360000</v>
      </c>
      <c r="F12" s="21">
        <f>E12*(1+'(4)Income &amp; Expense Input'!F13)</f>
        <v>4469000</v>
      </c>
      <c r="G12" s="21">
        <f>F12*(1+'(4)Income &amp; Expense Input'!G13)</f>
        <v>4580725</v>
      </c>
      <c r="H12" s="21">
        <f>G12*(1+'(4)Income &amp; Expense Input'!H13)</f>
        <v>4695243.125</v>
      </c>
      <c r="I12" s="21">
        <f>H12*(1+'(4)Income &amp; Expense Input'!I13)</f>
        <v>4812624.203125</v>
      </c>
      <c r="J12" s="21">
        <f>I12*(1+'(4)Income &amp; Expense Input'!J13)</f>
        <v>4932939.8082031244</v>
      </c>
      <c r="K12" s="21">
        <f>J12*(1+'(4)Income &amp; Expense Input'!K13)</f>
        <v>5056263.3034082018</v>
      </c>
      <c r="L12" s="21">
        <f>K12*(1+'(4)Income &amp; Expense Input'!L13)</f>
        <v>5182669.8859934062</v>
      </c>
      <c r="M12" s="21">
        <f>L12*(1+'(4)Income &amp; Expense Input'!M13)</f>
        <v>5312236.6331432406</v>
      </c>
      <c r="N12" s="21">
        <f>M12*(1+'(4)Income &amp; Expense Input'!N13)</f>
        <v>5445042.5489718216</v>
      </c>
      <c r="O12" s="21">
        <f>N12*(1+'(4)Income &amp; Expense Input'!O13)</f>
        <v>5581168.6126961168</v>
      </c>
      <c r="P12" s="126"/>
    </row>
    <row r="13" spans="2:16" x14ac:dyDescent="0.3">
      <c r="B13" s="125"/>
      <c r="C13" s="11">
        <v>2</v>
      </c>
      <c r="D13" s="12" t="s">
        <v>96</v>
      </c>
      <c r="E13" s="22">
        <f>'(4)Income &amp; Expense Input'!E15*'(4)Income &amp; Expense Input'!E16</f>
        <v>0</v>
      </c>
      <c r="F13" s="22">
        <f>E13*(1+'(4)Income &amp; Expense Input'!F16)</f>
        <v>0</v>
      </c>
      <c r="G13" s="22">
        <f>F13*(1+'(4)Income &amp; Expense Input'!G16)</f>
        <v>0</v>
      </c>
      <c r="H13" s="22">
        <f>G13*(1+'(4)Income &amp; Expense Input'!H16)</f>
        <v>0</v>
      </c>
      <c r="I13" s="22">
        <f>H13*(1+'(4)Income &amp; Expense Input'!I16)</f>
        <v>0</v>
      </c>
      <c r="J13" s="22">
        <f>I13*(1+'(4)Income &amp; Expense Input'!J16)</f>
        <v>0</v>
      </c>
      <c r="K13" s="22">
        <f>J13*(1+'(4)Income &amp; Expense Input'!K16)</f>
        <v>0</v>
      </c>
      <c r="L13" s="22">
        <f>K13*(1+'(4)Income &amp; Expense Input'!L16)</f>
        <v>0</v>
      </c>
      <c r="M13" s="22">
        <f>L13*(1+'(4)Income &amp; Expense Input'!M16)</f>
        <v>0</v>
      </c>
      <c r="N13" s="22">
        <f>M13*(1+'(4)Income &amp; Expense Input'!N16)</f>
        <v>0</v>
      </c>
      <c r="O13" s="22">
        <f>N13*(1+'(4)Income &amp; Expense Input'!O16)</f>
        <v>0</v>
      </c>
      <c r="P13" s="126"/>
    </row>
    <row r="14" spans="2:16" x14ac:dyDescent="0.3">
      <c r="B14" s="125"/>
      <c r="C14" s="11">
        <v>3</v>
      </c>
      <c r="D14" s="12" t="s">
        <v>97</v>
      </c>
      <c r="E14" s="22">
        <f>'(4)Income &amp; Expense Input'!E18*'(4)Income &amp; Expense Input'!E19</f>
        <v>0</v>
      </c>
      <c r="F14" s="22">
        <f>E14*(1+'(4)Income &amp; Expense Input'!F19)</f>
        <v>0</v>
      </c>
      <c r="G14" s="22">
        <f>F14*(1+'(4)Income &amp; Expense Input'!G19)</f>
        <v>0</v>
      </c>
      <c r="H14" s="22">
        <f>G14*(1+'(4)Income &amp; Expense Input'!H19)</f>
        <v>0</v>
      </c>
      <c r="I14" s="22">
        <f>H14*(1+'(4)Income &amp; Expense Input'!I19)</f>
        <v>0</v>
      </c>
      <c r="J14" s="22">
        <f>I14*(1+'(4)Income &amp; Expense Input'!J19)</f>
        <v>0</v>
      </c>
      <c r="K14" s="22">
        <f>J14*(1+'(4)Income &amp; Expense Input'!K19)</f>
        <v>0</v>
      </c>
      <c r="L14" s="22">
        <f>K14*(1+'(4)Income &amp; Expense Input'!L19)</f>
        <v>0</v>
      </c>
      <c r="M14" s="22">
        <f>L14*(1+'(4)Income &amp; Expense Input'!M19)</f>
        <v>0</v>
      </c>
      <c r="N14" s="22">
        <f>M14*(1+'(4)Income &amp; Expense Input'!N19)</f>
        <v>0</v>
      </c>
      <c r="O14" s="22">
        <f>N14*(1+'(4)Income &amp; Expense Input'!O19)</f>
        <v>0</v>
      </c>
      <c r="P14" s="126"/>
    </row>
    <row r="15" spans="2:16" x14ac:dyDescent="0.3">
      <c r="B15" s="125"/>
      <c r="C15" s="29">
        <v>4</v>
      </c>
      <c r="D15" s="24" t="s">
        <v>206</v>
      </c>
      <c r="E15" s="25">
        <f>SUM(E12:E14)</f>
        <v>4360000</v>
      </c>
      <c r="F15" s="25">
        <f t="shared" ref="F15" si="0">SUM(F12:F14)</f>
        <v>4469000</v>
      </c>
      <c r="G15" s="25">
        <f t="shared" ref="G15:O15" si="1">SUM(G12:G14)</f>
        <v>4580725</v>
      </c>
      <c r="H15" s="25">
        <f t="shared" si="1"/>
        <v>4695243.125</v>
      </c>
      <c r="I15" s="25">
        <f t="shared" si="1"/>
        <v>4812624.203125</v>
      </c>
      <c r="J15" s="25">
        <f t="shared" si="1"/>
        <v>4932939.8082031244</v>
      </c>
      <c r="K15" s="25">
        <f t="shared" si="1"/>
        <v>5056263.3034082018</v>
      </c>
      <c r="L15" s="25">
        <f t="shared" si="1"/>
        <v>5182669.8859934062</v>
      </c>
      <c r="M15" s="25">
        <f t="shared" si="1"/>
        <v>5312236.6331432406</v>
      </c>
      <c r="N15" s="25">
        <f t="shared" si="1"/>
        <v>5445042.5489718216</v>
      </c>
      <c r="O15" s="25">
        <f t="shared" si="1"/>
        <v>5581168.6126961168</v>
      </c>
      <c r="P15" s="126"/>
    </row>
    <row r="16" spans="2:16" x14ac:dyDescent="0.3">
      <c r="B16" s="125"/>
      <c r="C16" s="11">
        <v>5</v>
      </c>
      <c r="D16" s="12" t="s">
        <v>207</v>
      </c>
      <c r="E16" s="22">
        <f>E12*'(4)Income &amp; Expense Input'!E14</f>
        <v>379320</v>
      </c>
      <c r="F16" s="22">
        <f>F12*'(4)Income &amp; Expense Input'!F14</f>
        <v>388803</v>
      </c>
      <c r="G16" s="22">
        <f>G12*'(4)Income &amp; Expense Input'!G14</f>
        <v>398523.07499999995</v>
      </c>
      <c r="H16" s="22">
        <f>H12*'(4)Income &amp; Expense Input'!H14</f>
        <v>408486.15187499998</v>
      </c>
      <c r="I16" s="22">
        <f>I12*'(4)Income &amp; Expense Input'!I14</f>
        <v>418698.30567187496</v>
      </c>
      <c r="J16" s="22">
        <f>J12*'(4)Income &amp; Expense Input'!J14</f>
        <v>429165.76331367181</v>
      </c>
      <c r="K16" s="22">
        <f>K12*'(4)Income &amp; Expense Input'!K14</f>
        <v>439894.9073965135</v>
      </c>
      <c r="L16" s="22">
        <f>L12*'(4)Income &amp; Expense Input'!L14</f>
        <v>450892.28008142632</v>
      </c>
      <c r="M16" s="22">
        <f>M12*'(4)Income &amp; Expense Input'!M14</f>
        <v>462164.58708346193</v>
      </c>
      <c r="N16" s="22">
        <f>N12*'(4)Income &amp; Expense Input'!N14</f>
        <v>473718.70176054846</v>
      </c>
      <c r="O16" s="22">
        <f>O12*'(4)Income &amp; Expense Input'!O14</f>
        <v>485561.66930456215</v>
      </c>
      <c r="P16" s="126"/>
    </row>
    <row r="17" spans="2:16" x14ac:dyDescent="0.3">
      <c r="B17" s="125"/>
      <c r="C17" s="11">
        <v>6</v>
      </c>
      <c r="D17" s="12" t="s">
        <v>208</v>
      </c>
      <c r="E17" s="22">
        <f>E13*'(4)Income &amp; Expense Input'!E17</f>
        <v>0</v>
      </c>
      <c r="F17" s="22">
        <f>F13*'(4)Income &amp; Expense Input'!F17</f>
        <v>0</v>
      </c>
      <c r="G17" s="22">
        <f>G13*'(4)Income &amp; Expense Input'!G17</f>
        <v>0</v>
      </c>
      <c r="H17" s="22">
        <f>H13*'(4)Income &amp; Expense Input'!H17</f>
        <v>0</v>
      </c>
      <c r="I17" s="22">
        <f>I13*'(4)Income &amp; Expense Input'!I17</f>
        <v>0</v>
      </c>
      <c r="J17" s="22">
        <f>J13*'(4)Income &amp; Expense Input'!J17</f>
        <v>0</v>
      </c>
      <c r="K17" s="22">
        <f>K13*'(4)Income &amp; Expense Input'!K17</f>
        <v>0</v>
      </c>
      <c r="L17" s="22">
        <f>L13*'(4)Income &amp; Expense Input'!L17</f>
        <v>0</v>
      </c>
      <c r="M17" s="22">
        <f>M13*'(4)Income &amp; Expense Input'!M17</f>
        <v>0</v>
      </c>
      <c r="N17" s="22">
        <f>N13*'(4)Income &amp; Expense Input'!N17</f>
        <v>0</v>
      </c>
      <c r="O17" s="22">
        <f>O13*'(4)Income &amp; Expense Input'!O17</f>
        <v>0</v>
      </c>
      <c r="P17" s="126"/>
    </row>
    <row r="18" spans="2:16" x14ac:dyDescent="0.3">
      <c r="B18" s="125"/>
      <c r="C18" s="11">
        <v>7</v>
      </c>
      <c r="D18" s="12" t="s">
        <v>209</v>
      </c>
      <c r="E18" s="22">
        <f>E14*'(4)Income &amp; Expense Input'!E20</f>
        <v>0</v>
      </c>
      <c r="F18" s="22">
        <f>F14*'(4)Income &amp; Expense Input'!F20</f>
        <v>0</v>
      </c>
      <c r="G18" s="22">
        <f>G14*'(4)Income &amp; Expense Input'!G20</f>
        <v>0</v>
      </c>
      <c r="H18" s="22">
        <f>H14*'(4)Income &amp; Expense Input'!H20</f>
        <v>0</v>
      </c>
      <c r="I18" s="22">
        <f>I14*'(4)Income &amp; Expense Input'!I20</f>
        <v>0</v>
      </c>
      <c r="J18" s="22">
        <f>J14*'(4)Income &amp; Expense Input'!J20</f>
        <v>0</v>
      </c>
      <c r="K18" s="22">
        <f>K14*'(4)Income &amp; Expense Input'!K20</f>
        <v>0</v>
      </c>
      <c r="L18" s="22">
        <f>L14*'(4)Income &amp; Expense Input'!L20</f>
        <v>0</v>
      </c>
      <c r="M18" s="22">
        <f>M14*'(4)Income &amp; Expense Input'!M20</f>
        <v>0</v>
      </c>
      <c r="N18" s="22">
        <f>N14*'(4)Income &amp; Expense Input'!N20</f>
        <v>0</v>
      </c>
      <c r="O18" s="22">
        <f>O14*'(4)Income &amp; Expense Input'!O20</f>
        <v>0</v>
      </c>
      <c r="P18" s="126"/>
    </row>
    <row r="19" spans="2:16" x14ac:dyDescent="0.3">
      <c r="B19" s="125"/>
      <c r="C19" s="29">
        <v>8</v>
      </c>
      <c r="D19" s="24" t="s">
        <v>176</v>
      </c>
      <c r="E19" s="25">
        <f>E15-SUM(E16:E18)</f>
        <v>3980680</v>
      </c>
      <c r="F19" s="25">
        <f t="shared" ref="F19" si="2">F15-SUM(F16:F18)</f>
        <v>4080197</v>
      </c>
      <c r="G19" s="25">
        <f t="shared" ref="G19:O19" si="3">G15-SUM(G16:G18)</f>
        <v>4182201.9249999998</v>
      </c>
      <c r="H19" s="25">
        <f t="shared" si="3"/>
        <v>4286756.9731249996</v>
      </c>
      <c r="I19" s="25">
        <f t="shared" si="3"/>
        <v>4393925.8974531246</v>
      </c>
      <c r="J19" s="25">
        <f t="shared" si="3"/>
        <v>4503774.0448894529</v>
      </c>
      <c r="K19" s="25">
        <f t="shared" si="3"/>
        <v>4616368.3960116878</v>
      </c>
      <c r="L19" s="25">
        <f t="shared" si="3"/>
        <v>4731777.6059119795</v>
      </c>
      <c r="M19" s="25">
        <f t="shared" si="3"/>
        <v>4850072.0460597789</v>
      </c>
      <c r="N19" s="25">
        <f t="shared" si="3"/>
        <v>4971323.8472112734</v>
      </c>
      <c r="O19" s="25">
        <f t="shared" si="3"/>
        <v>5095606.943391555</v>
      </c>
      <c r="P19" s="126"/>
    </row>
    <row r="20" spans="2:16" x14ac:dyDescent="0.3">
      <c r="B20" s="125"/>
      <c r="C20" s="29">
        <v>9</v>
      </c>
      <c r="D20" s="24" t="s">
        <v>210</v>
      </c>
      <c r="E20" s="61">
        <f>IF(('(4)Income &amp; Expense Input'!$E$12+'(4)Income &amp; Expense Input'!$E$15+'(4)Income &amp; Expense Input'!$E$18)=0,0,E15/('(4)Income &amp; Expense Input'!$E$12+'(4)Income &amp; Expense Input'!$E$15+'(4)Income &amp; Expense Input'!$E$18))</f>
        <v>8.7200000000000006</v>
      </c>
      <c r="F20" s="61">
        <f>IF(('(4)Income &amp; Expense Input'!$E$12+'(4)Income &amp; Expense Input'!$E$15+'(4)Income &amp; Expense Input'!$E$18)=0,0,F15/('(4)Income &amp; Expense Input'!$E$12+'(4)Income &amp; Expense Input'!$E$15+'(4)Income &amp; Expense Input'!$E$18))</f>
        <v>8.9380000000000006</v>
      </c>
      <c r="G20" s="61">
        <f>IF(('(4)Income &amp; Expense Input'!$E$12+'(4)Income &amp; Expense Input'!$E$15+'(4)Income &amp; Expense Input'!$E$18)=0,0,G15/('(4)Income &amp; Expense Input'!$E$12+'(4)Income &amp; Expense Input'!$E$15+'(4)Income &amp; Expense Input'!$E$18))</f>
        <v>9.1614500000000003</v>
      </c>
      <c r="H20" s="61">
        <f>IF(('(4)Income &amp; Expense Input'!$E$12+'(4)Income &amp; Expense Input'!$E$15+'(4)Income &amp; Expense Input'!$E$18)=0,0,H15/('(4)Income &amp; Expense Input'!$E$12+'(4)Income &amp; Expense Input'!$E$15+'(4)Income &amp; Expense Input'!$E$18))</f>
        <v>9.3904862500000004</v>
      </c>
      <c r="I20" s="61">
        <f>IF(('(4)Income &amp; Expense Input'!$E$12+'(4)Income &amp; Expense Input'!$E$15+'(4)Income &amp; Expense Input'!$E$18)=0,0,I15/('(4)Income &amp; Expense Input'!$E$12+'(4)Income &amp; Expense Input'!$E$15+'(4)Income &amp; Expense Input'!$E$18))</f>
        <v>9.6252484062499999</v>
      </c>
      <c r="J20" s="61">
        <f>IF(('(4)Income &amp; Expense Input'!$E$12+'(4)Income &amp; Expense Input'!$E$15+'(4)Income &amp; Expense Input'!$E$18)=0,0,J15/('(4)Income &amp; Expense Input'!$E$12+'(4)Income &amp; Expense Input'!$E$15+'(4)Income &amp; Expense Input'!$E$18))</f>
        <v>9.8658796164062483</v>
      </c>
      <c r="K20" s="61">
        <f>IF(('(4)Income &amp; Expense Input'!$E$12+'(4)Income &amp; Expense Input'!$E$15+'(4)Income &amp; Expense Input'!$E$18)=0,0,K15/('(4)Income &amp; Expense Input'!$E$12+'(4)Income &amp; Expense Input'!$E$15+'(4)Income &amp; Expense Input'!$E$18))</f>
        <v>10.112526606816404</v>
      </c>
      <c r="L20" s="61">
        <f>IF(('(4)Income &amp; Expense Input'!$E$12+'(4)Income &amp; Expense Input'!$E$15+'(4)Income &amp; Expense Input'!$E$18)=0,0,L15/('(4)Income &amp; Expense Input'!$E$12+'(4)Income &amp; Expense Input'!$E$15+'(4)Income &amp; Expense Input'!$E$18))</f>
        <v>10.365339771986813</v>
      </c>
      <c r="M20" s="61">
        <f>IF(('(4)Income &amp; Expense Input'!$E$12+'(4)Income &amp; Expense Input'!$E$15+'(4)Income &amp; Expense Input'!$E$18)=0,0,M15/('(4)Income &amp; Expense Input'!$E$12+'(4)Income &amp; Expense Input'!$E$15+'(4)Income &amp; Expense Input'!$E$18))</f>
        <v>10.624473266286481</v>
      </c>
      <c r="N20" s="61">
        <f>IF(('(4)Income &amp; Expense Input'!$E$12+'(4)Income &amp; Expense Input'!$E$15+'(4)Income &amp; Expense Input'!$E$18)=0,0,N15/('(4)Income &amp; Expense Input'!$E$12+'(4)Income &amp; Expense Input'!$E$15+'(4)Income &amp; Expense Input'!$E$18))</f>
        <v>10.890085097943643</v>
      </c>
      <c r="O20" s="61">
        <f>IF(('(4)Income &amp; Expense Input'!$E$12+'(4)Income &amp; Expense Input'!$E$15+'(4)Income &amp; Expense Input'!$E$18)=0,0,O15/('(4)Income &amp; Expense Input'!$E$12+'(4)Income &amp; Expense Input'!$E$15+'(4)Income &amp; Expense Input'!$E$18))</f>
        <v>11.162337225392234</v>
      </c>
      <c r="P20" s="126"/>
    </row>
    <row r="21" spans="2:16" x14ac:dyDescent="0.3">
      <c r="B21" s="125"/>
      <c r="C21" s="30">
        <v>10</v>
      </c>
      <c r="D21" s="26" t="s">
        <v>211</v>
      </c>
      <c r="E21" s="62">
        <f>IF(E15=0,0,SUM(E16:E18)/E15)</f>
        <v>8.6999999999999994E-2</v>
      </c>
      <c r="F21" s="62">
        <f>IF(F15=0,0,SUM(F16:F18)/F15)</f>
        <v>8.6999999999999994E-2</v>
      </c>
      <c r="G21" s="62">
        <f t="shared" ref="G21:O21" si="4">IF(G15=0,0,SUM(G16:G18)/G15)</f>
        <v>8.6999999999999994E-2</v>
      </c>
      <c r="H21" s="62">
        <f t="shared" si="4"/>
        <v>8.6999999999999994E-2</v>
      </c>
      <c r="I21" s="62">
        <f t="shared" si="4"/>
        <v>8.6999999999999994E-2</v>
      </c>
      <c r="J21" s="62">
        <f t="shared" si="4"/>
        <v>8.6999999999999994E-2</v>
      </c>
      <c r="K21" s="62">
        <f t="shared" si="4"/>
        <v>8.6999999999999994E-2</v>
      </c>
      <c r="L21" s="62">
        <f t="shared" si="4"/>
        <v>8.6999999999999994E-2</v>
      </c>
      <c r="M21" s="62">
        <f t="shared" si="4"/>
        <v>8.6999999999999994E-2</v>
      </c>
      <c r="N21" s="62">
        <f t="shared" si="4"/>
        <v>8.6999999999999994E-2</v>
      </c>
      <c r="O21" s="62">
        <f t="shared" si="4"/>
        <v>8.6999999999999994E-2</v>
      </c>
      <c r="P21" s="126"/>
    </row>
    <row r="22" spans="2:16" x14ac:dyDescent="0.3">
      <c r="B22" s="125"/>
      <c r="C22" s="133"/>
      <c r="D22" s="152"/>
      <c r="E22" s="153"/>
      <c r="F22" s="153"/>
      <c r="G22" s="153"/>
      <c r="H22" s="153"/>
      <c r="I22" s="153"/>
      <c r="J22" s="153"/>
      <c r="K22" s="153"/>
      <c r="L22" s="153"/>
      <c r="M22" s="153"/>
      <c r="N22" s="153"/>
      <c r="O22" s="153"/>
      <c r="P22" s="126"/>
    </row>
    <row r="23" spans="2:16" x14ac:dyDescent="0.3">
      <c r="B23" s="125"/>
      <c r="C23" s="204" t="s">
        <v>212</v>
      </c>
      <c r="D23" s="205"/>
      <c r="E23" s="205"/>
      <c r="F23" s="205"/>
      <c r="G23" s="205"/>
      <c r="H23" s="205"/>
      <c r="I23" s="205"/>
      <c r="J23" s="205"/>
      <c r="K23" s="205"/>
      <c r="L23" s="205"/>
      <c r="M23" s="205"/>
      <c r="N23" s="205"/>
      <c r="O23" s="206"/>
      <c r="P23" s="126"/>
    </row>
    <row r="24" spans="2:16" x14ac:dyDescent="0.3">
      <c r="B24" s="125"/>
      <c r="C24" s="15" t="s">
        <v>75</v>
      </c>
      <c r="D24" s="13"/>
      <c r="E24" s="14">
        <v>1</v>
      </c>
      <c r="F24" s="14">
        <v>2</v>
      </c>
      <c r="G24" s="14">
        <v>3</v>
      </c>
      <c r="H24" s="14">
        <v>4</v>
      </c>
      <c r="I24" s="14">
        <v>5</v>
      </c>
      <c r="J24" s="14">
        <v>6</v>
      </c>
      <c r="K24" s="14">
        <v>7</v>
      </c>
      <c r="L24" s="14">
        <v>8</v>
      </c>
      <c r="M24" s="14">
        <v>9</v>
      </c>
      <c r="N24" s="14">
        <v>10</v>
      </c>
      <c r="O24" s="14">
        <v>11</v>
      </c>
      <c r="P24" s="126"/>
    </row>
    <row r="25" spans="2:16" x14ac:dyDescent="0.3">
      <c r="B25" s="125"/>
      <c r="C25" s="7">
        <v>11</v>
      </c>
      <c r="D25" s="8" t="s">
        <v>213</v>
      </c>
      <c r="E25" s="21">
        <f>('(4)Income &amp; Expense Input'!$E$12*'(4)Income &amp; Expense Input'!E36)*(1-'(4)Income &amp; Expense Input'!$E$14)</f>
        <v>0</v>
      </c>
      <c r="F25" s="21">
        <f>(('(4)Income &amp; Expense Input'!$E$12*'(4)Income &amp; Expense Input'!E36)*(1+'(4)Income &amp; Expense Input'!F36))*(1-'(4)Income &amp; Expense Input'!$E$14)</f>
        <v>0</v>
      </c>
      <c r="G25" s="21">
        <f>(('(4)Income &amp; Expense Input'!$E$12*'(4)Income &amp; Expense Input'!F36)*(1+'(4)Income &amp; Expense Input'!G36))*(1-'(4)Income &amp; Expense Input'!$E$14)</f>
        <v>0</v>
      </c>
      <c r="H25" s="21">
        <f>(('(4)Income &amp; Expense Input'!$E$12*'(4)Income &amp; Expense Input'!G36)*(1+'(4)Income &amp; Expense Input'!H36))*(1-'(4)Income &amp; Expense Input'!$E$14)</f>
        <v>0</v>
      </c>
      <c r="I25" s="21">
        <f>(('(4)Income &amp; Expense Input'!$E$12*'(4)Income &amp; Expense Input'!H36)*(1+'(4)Income &amp; Expense Input'!I36))*(1-'(4)Income &amp; Expense Input'!$E$14)</f>
        <v>0</v>
      </c>
      <c r="J25" s="21">
        <f>(('(4)Income &amp; Expense Input'!$E$12*'(4)Income &amp; Expense Input'!I36)*(1+'(4)Income &amp; Expense Input'!J36))*(1-'(4)Income &amp; Expense Input'!$E$14)</f>
        <v>0</v>
      </c>
      <c r="K25" s="21">
        <f>(('(4)Income &amp; Expense Input'!$E$12*'(4)Income &amp; Expense Input'!J36)*(1+'(4)Income &amp; Expense Input'!K36))*(1-'(4)Income &amp; Expense Input'!$E$14)</f>
        <v>0</v>
      </c>
      <c r="L25" s="21">
        <f>(('(4)Income &amp; Expense Input'!$E$12*'(4)Income &amp; Expense Input'!K36)*(1+'(4)Income &amp; Expense Input'!L36))*(1-'(4)Income &amp; Expense Input'!$E$14)</f>
        <v>0</v>
      </c>
      <c r="M25" s="21">
        <f>(('(4)Income &amp; Expense Input'!$E$12*'(4)Income &amp; Expense Input'!L36)*(1+'(4)Income &amp; Expense Input'!M36))*(1-'(4)Income &amp; Expense Input'!$E$14)</f>
        <v>0</v>
      </c>
      <c r="N25" s="21">
        <f>(('(4)Income &amp; Expense Input'!$E$12*'(4)Income &amp; Expense Input'!M36)*(1+'(4)Income &amp; Expense Input'!N36))*(1-'(4)Income &amp; Expense Input'!$E$14)</f>
        <v>0</v>
      </c>
      <c r="O25" s="21">
        <f>(('(4)Income &amp; Expense Input'!$E$12*'(4)Income &amp; Expense Input'!N36)*(1+'(4)Income &amp; Expense Input'!O36))*(1-'(4)Income &amp; Expense Input'!$E$14)</f>
        <v>0</v>
      </c>
      <c r="P25" s="126"/>
    </row>
    <row r="26" spans="2:16" x14ac:dyDescent="0.3">
      <c r="B26" s="125"/>
      <c r="C26" s="11">
        <v>12</v>
      </c>
      <c r="D26" s="12" t="s">
        <v>214</v>
      </c>
      <c r="E26" s="22">
        <f>('(4)Income &amp; Expense Input'!$E$12*'(4)Income &amp; Expense Input'!E37)*(1-'(4)Income &amp; Expense Input'!$E$14)</f>
        <v>0</v>
      </c>
      <c r="F26" s="22">
        <f>(('(4)Income &amp; Expense Input'!$E$12*'(4)Income &amp; Expense Input'!E37)*(1+'(4)Income &amp; Expense Input'!F37))*(1-'(4)Income &amp; Expense Input'!$E$14)</f>
        <v>0</v>
      </c>
      <c r="G26" s="22">
        <f>(('(4)Income &amp; Expense Input'!$E$12*'(4)Income &amp; Expense Input'!F37)*(1+'(4)Income &amp; Expense Input'!G37))*(1-'(4)Income &amp; Expense Input'!$E$14)</f>
        <v>0</v>
      </c>
      <c r="H26" s="22">
        <f>(('(4)Income &amp; Expense Input'!$E$12*'(4)Income &amp; Expense Input'!G37)*(1+'(4)Income &amp; Expense Input'!H37))*(1-'(4)Income &amp; Expense Input'!$E$14)</f>
        <v>0</v>
      </c>
      <c r="I26" s="22">
        <f>(('(4)Income &amp; Expense Input'!$E$12*'(4)Income &amp; Expense Input'!H37)*(1+'(4)Income &amp; Expense Input'!I37))*(1-'(4)Income &amp; Expense Input'!$E$14)</f>
        <v>0</v>
      </c>
      <c r="J26" s="22">
        <f>(('(4)Income &amp; Expense Input'!$E$12*'(4)Income &amp; Expense Input'!I37)*(1+'(4)Income &amp; Expense Input'!J37))*(1-'(4)Income &amp; Expense Input'!$E$14)</f>
        <v>0</v>
      </c>
      <c r="K26" s="22">
        <f>(('(4)Income &amp; Expense Input'!$E$12*'(4)Income &amp; Expense Input'!J37)*(1+'(4)Income &amp; Expense Input'!K37))*(1-'(4)Income &amp; Expense Input'!$E$14)</f>
        <v>0</v>
      </c>
      <c r="L26" s="22">
        <f>(('(4)Income &amp; Expense Input'!$E$12*'(4)Income &amp; Expense Input'!K37)*(1+'(4)Income &amp; Expense Input'!L37))*(1-'(4)Income &amp; Expense Input'!$E$14)</f>
        <v>0</v>
      </c>
      <c r="M26" s="22">
        <f>(('(4)Income &amp; Expense Input'!$E$12*'(4)Income &amp; Expense Input'!L37)*(1+'(4)Income &amp; Expense Input'!M37))*(1-'(4)Income &amp; Expense Input'!$E$14)</f>
        <v>0</v>
      </c>
      <c r="N26" s="22">
        <f>(('(4)Income &amp; Expense Input'!$E$12*'(4)Income &amp; Expense Input'!M37)*(1+'(4)Income &amp; Expense Input'!N37))*(1-'(4)Income &amp; Expense Input'!$E$14)</f>
        <v>0</v>
      </c>
      <c r="O26" s="22">
        <f>(('(4)Income &amp; Expense Input'!$E$12*'(4)Income &amp; Expense Input'!N37)*(1+'(4)Income &amp; Expense Input'!O37))*(1-'(4)Income &amp; Expense Input'!$E$14)</f>
        <v>0</v>
      </c>
      <c r="P26" s="126"/>
    </row>
    <row r="27" spans="2:16" x14ac:dyDescent="0.3">
      <c r="B27" s="125"/>
      <c r="C27" s="11">
        <v>13</v>
      </c>
      <c r="D27" s="12" t="s">
        <v>215</v>
      </c>
      <c r="E27" s="22">
        <f>('(4)Income &amp; Expense Input'!$E$12*'(4)Income &amp; Expense Input'!E38)*(1-'(4)Income &amp; Expense Input'!$E$14)</f>
        <v>0</v>
      </c>
      <c r="F27" s="22">
        <f>(('(4)Income &amp; Expense Input'!$E$12*'(4)Income &amp; Expense Input'!E38)*(1+'(4)Income &amp; Expense Input'!F38))*(1-'(4)Income &amp; Expense Input'!$E$14)</f>
        <v>0</v>
      </c>
      <c r="G27" s="22">
        <f>(('(4)Income &amp; Expense Input'!$E$12*'(4)Income &amp; Expense Input'!F38)*(1+'(4)Income &amp; Expense Input'!G38))*(1-'(4)Income &amp; Expense Input'!$E$14)</f>
        <v>0</v>
      </c>
      <c r="H27" s="22">
        <f>(('(4)Income &amp; Expense Input'!$E$12*'(4)Income &amp; Expense Input'!G38)*(1+'(4)Income &amp; Expense Input'!H38))*(1-'(4)Income &amp; Expense Input'!$E$14)</f>
        <v>0</v>
      </c>
      <c r="I27" s="22">
        <f>(('(4)Income &amp; Expense Input'!$E$12*'(4)Income &amp; Expense Input'!H38)*(1+'(4)Income &amp; Expense Input'!I38))*(1-'(4)Income &amp; Expense Input'!$E$14)</f>
        <v>0</v>
      </c>
      <c r="J27" s="22">
        <f>(('(4)Income &amp; Expense Input'!$E$12*'(4)Income &amp; Expense Input'!I38)*(1+'(4)Income &amp; Expense Input'!J38))*(1-'(4)Income &amp; Expense Input'!$E$14)</f>
        <v>0</v>
      </c>
      <c r="K27" s="22">
        <f>(('(4)Income &amp; Expense Input'!$E$12*'(4)Income &amp; Expense Input'!J38)*(1+'(4)Income &amp; Expense Input'!K38))*(1-'(4)Income &amp; Expense Input'!$E$14)</f>
        <v>0</v>
      </c>
      <c r="L27" s="22">
        <f>(('(4)Income &amp; Expense Input'!$E$12*'(4)Income &amp; Expense Input'!K38)*(1+'(4)Income &amp; Expense Input'!L38))*(1-'(4)Income &amp; Expense Input'!$E$14)</f>
        <v>0</v>
      </c>
      <c r="M27" s="22">
        <f>(('(4)Income &amp; Expense Input'!$E$12*'(4)Income &amp; Expense Input'!L38)*(1+'(4)Income &amp; Expense Input'!M38))*(1-'(4)Income &amp; Expense Input'!$E$14)</f>
        <v>0</v>
      </c>
      <c r="N27" s="22">
        <f>(('(4)Income &amp; Expense Input'!$E$12*'(4)Income &amp; Expense Input'!M38)*(1+'(4)Income &amp; Expense Input'!N38))*(1-'(4)Income &amp; Expense Input'!$E$14)</f>
        <v>0</v>
      </c>
      <c r="O27" s="22">
        <f>(('(4)Income &amp; Expense Input'!$E$12*'(4)Income &amp; Expense Input'!N38)*(1+'(4)Income &amp; Expense Input'!O38))*(1-'(4)Income &amp; Expense Input'!$E$14)</f>
        <v>0</v>
      </c>
      <c r="P27" s="126"/>
    </row>
    <row r="28" spans="2:16" x14ac:dyDescent="0.3">
      <c r="B28" s="125"/>
      <c r="C28" s="11">
        <v>14</v>
      </c>
      <c r="D28" s="12" t="s">
        <v>216</v>
      </c>
      <c r="E28" s="22">
        <f>('(4)Income &amp; Expense Input'!$E$12*'(4)Income &amp; Expense Input'!E39)*(1-'(4)Income &amp; Expense Input'!$E$14)</f>
        <v>0</v>
      </c>
      <c r="F28" s="22">
        <f>(('(4)Income &amp; Expense Input'!$E$12*'(4)Income &amp; Expense Input'!E39)*(1+'(4)Income &amp; Expense Input'!F39))*(1-'(4)Income &amp; Expense Input'!$E$14)</f>
        <v>0</v>
      </c>
      <c r="G28" s="22">
        <f>(('(4)Income &amp; Expense Input'!$E$12*'(4)Income &amp; Expense Input'!F39)*(1+'(4)Income &amp; Expense Input'!G39))*(1-'(4)Income &amp; Expense Input'!$E$14)</f>
        <v>0</v>
      </c>
      <c r="H28" s="22">
        <f>(('(4)Income &amp; Expense Input'!$E$12*'(4)Income &amp; Expense Input'!G39)*(1+'(4)Income &amp; Expense Input'!H39))*(1-'(4)Income &amp; Expense Input'!$E$14)</f>
        <v>0</v>
      </c>
      <c r="I28" s="22">
        <f>(('(4)Income &amp; Expense Input'!$E$12*'(4)Income &amp; Expense Input'!H39)*(1+'(4)Income &amp; Expense Input'!I39))*(1-'(4)Income &amp; Expense Input'!$E$14)</f>
        <v>0</v>
      </c>
      <c r="J28" s="22">
        <f>(('(4)Income &amp; Expense Input'!$E$12*'(4)Income &amp; Expense Input'!I39)*(1+'(4)Income &amp; Expense Input'!J39))*(1-'(4)Income &amp; Expense Input'!$E$14)</f>
        <v>0</v>
      </c>
      <c r="K28" s="22">
        <f>(('(4)Income &amp; Expense Input'!$E$12*'(4)Income &amp; Expense Input'!J39)*(1+'(4)Income &amp; Expense Input'!K39))*(1-'(4)Income &amp; Expense Input'!$E$14)</f>
        <v>0</v>
      </c>
      <c r="L28" s="22">
        <f>(('(4)Income &amp; Expense Input'!$E$12*'(4)Income &amp; Expense Input'!K39)*(1+'(4)Income &amp; Expense Input'!L39))*(1-'(4)Income &amp; Expense Input'!$E$14)</f>
        <v>0</v>
      </c>
      <c r="M28" s="22">
        <f>(('(4)Income &amp; Expense Input'!$E$12*'(4)Income &amp; Expense Input'!L39)*(1+'(4)Income &amp; Expense Input'!M39))*(1-'(4)Income &amp; Expense Input'!$E$14)</f>
        <v>0</v>
      </c>
      <c r="N28" s="22">
        <f>(('(4)Income &amp; Expense Input'!$E$12*'(4)Income &amp; Expense Input'!M39)*(1+'(4)Income &amp; Expense Input'!N39))*(1-'(4)Income &amp; Expense Input'!$E$14)</f>
        <v>0</v>
      </c>
      <c r="O28" s="22">
        <f>(('(4)Income &amp; Expense Input'!$E$12*'(4)Income &amp; Expense Input'!N39)*(1+'(4)Income &amp; Expense Input'!O39))*(1-'(4)Income &amp; Expense Input'!$E$14)</f>
        <v>0</v>
      </c>
      <c r="P28" s="126"/>
    </row>
    <row r="29" spans="2:16" x14ac:dyDescent="0.3">
      <c r="B29" s="125"/>
      <c r="C29" s="11">
        <v>15</v>
      </c>
      <c r="D29" s="12" t="s">
        <v>217</v>
      </c>
      <c r="E29" s="22">
        <f>('(4)Income &amp; Expense Input'!$E$12*'(4)Income &amp; Expense Input'!E40)*(1-'(4)Income &amp; Expense Input'!$E$14)</f>
        <v>0</v>
      </c>
      <c r="F29" s="22">
        <f>(('(4)Income &amp; Expense Input'!$E$12*'(4)Income &amp; Expense Input'!E40)*(1+'(4)Income &amp; Expense Input'!F40))*(1-'(4)Income &amp; Expense Input'!$E$14)</f>
        <v>0</v>
      </c>
      <c r="G29" s="22">
        <f>(('(4)Income &amp; Expense Input'!$E$12*'(4)Income &amp; Expense Input'!F40)*(1+'(4)Income &amp; Expense Input'!G40))*(1-'(4)Income &amp; Expense Input'!$E$14)</f>
        <v>0</v>
      </c>
      <c r="H29" s="22">
        <f>(('(4)Income &amp; Expense Input'!$E$12*'(4)Income &amp; Expense Input'!G40)*(1+'(4)Income &amp; Expense Input'!H40))*(1-'(4)Income &amp; Expense Input'!$E$14)</f>
        <v>0</v>
      </c>
      <c r="I29" s="22">
        <f>(('(4)Income &amp; Expense Input'!$E$12*'(4)Income &amp; Expense Input'!H40)*(1+'(4)Income &amp; Expense Input'!I40))*(1-'(4)Income &amp; Expense Input'!$E$14)</f>
        <v>0</v>
      </c>
      <c r="J29" s="22">
        <f>(('(4)Income &amp; Expense Input'!$E$12*'(4)Income &amp; Expense Input'!I40)*(1+'(4)Income &amp; Expense Input'!J40))*(1-'(4)Income &amp; Expense Input'!$E$14)</f>
        <v>0</v>
      </c>
      <c r="K29" s="22">
        <f>(('(4)Income &amp; Expense Input'!$E$12*'(4)Income &amp; Expense Input'!J40)*(1+'(4)Income &amp; Expense Input'!K40))*(1-'(4)Income &amp; Expense Input'!$E$14)</f>
        <v>0</v>
      </c>
      <c r="L29" s="22">
        <f>(('(4)Income &amp; Expense Input'!$E$12*'(4)Income &amp; Expense Input'!K40)*(1+'(4)Income &amp; Expense Input'!L40))*(1-'(4)Income &amp; Expense Input'!$E$14)</f>
        <v>0</v>
      </c>
      <c r="M29" s="22">
        <f>(('(4)Income &amp; Expense Input'!$E$12*'(4)Income &amp; Expense Input'!L40)*(1+'(4)Income &amp; Expense Input'!M40))*(1-'(4)Income &amp; Expense Input'!$E$14)</f>
        <v>0</v>
      </c>
      <c r="N29" s="22">
        <f>(('(4)Income &amp; Expense Input'!$E$12*'(4)Income &amp; Expense Input'!M40)*(1+'(4)Income &amp; Expense Input'!N40))*(1-'(4)Income &amp; Expense Input'!$E$14)</f>
        <v>0</v>
      </c>
      <c r="O29" s="22">
        <f>(('(4)Income &amp; Expense Input'!$E$12*'(4)Income &amp; Expense Input'!N40)*(1+'(4)Income &amp; Expense Input'!O40))*(1-'(4)Income &amp; Expense Input'!$E$14)</f>
        <v>0</v>
      </c>
      <c r="P29" s="126"/>
    </row>
    <row r="30" spans="2:16" x14ac:dyDescent="0.3">
      <c r="B30" s="125"/>
      <c r="C30" s="11">
        <v>16</v>
      </c>
      <c r="D30" s="12" t="s">
        <v>218</v>
      </c>
      <c r="E30" s="22">
        <f>('(4)Income &amp; Expense Input'!$E$12*'(4)Income &amp; Expense Input'!E41)*(1-'(4)Income &amp; Expense Input'!$E$14)</f>
        <v>0</v>
      </c>
      <c r="F30" s="22">
        <f>(('(4)Income &amp; Expense Input'!$E$12*'(4)Income &amp; Expense Input'!E41)*(1+'(4)Income &amp; Expense Input'!F41))*(1-'(4)Income &amp; Expense Input'!$E$14)</f>
        <v>0</v>
      </c>
      <c r="G30" s="22">
        <f>(('(4)Income &amp; Expense Input'!$E$12*'(4)Income &amp; Expense Input'!F41)*(1+'(4)Income &amp; Expense Input'!G41))*(1-'(4)Income &amp; Expense Input'!$E$14)</f>
        <v>0</v>
      </c>
      <c r="H30" s="22">
        <f>(('(4)Income &amp; Expense Input'!$E$12*'(4)Income &amp; Expense Input'!G41)*(1+'(4)Income &amp; Expense Input'!H41))*(1-'(4)Income &amp; Expense Input'!$E$14)</f>
        <v>0</v>
      </c>
      <c r="I30" s="22">
        <f>(('(4)Income &amp; Expense Input'!$E$12*'(4)Income &amp; Expense Input'!H41)*(1+'(4)Income &amp; Expense Input'!I41))*(1-'(4)Income &amp; Expense Input'!$E$14)</f>
        <v>0</v>
      </c>
      <c r="J30" s="22">
        <f>(('(4)Income &amp; Expense Input'!$E$12*'(4)Income &amp; Expense Input'!I41)*(1+'(4)Income &amp; Expense Input'!J41))*(1-'(4)Income &amp; Expense Input'!$E$14)</f>
        <v>0</v>
      </c>
      <c r="K30" s="22">
        <f>(('(4)Income &amp; Expense Input'!$E$12*'(4)Income &amp; Expense Input'!J41)*(1+'(4)Income &amp; Expense Input'!K41))*(1-'(4)Income &amp; Expense Input'!$E$14)</f>
        <v>0</v>
      </c>
      <c r="L30" s="22">
        <f>(('(4)Income &amp; Expense Input'!$E$12*'(4)Income &amp; Expense Input'!K41)*(1+'(4)Income &amp; Expense Input'!L41))*(1-'(4)Income &amp; Expense Input'!$E$14)</f>
        <v>0</v>
      </c>
      <c r="M30" s="22">
        <f>(('(4)Income &amp; Expense Input'!$E$12*'(4)Income &amp; Expense Input'!L41)*(1+'(4)Income &amp; Expense Input'!M41))*(1-'(4)Income &amp; Expense Input'!$E$14)</f>
        <v>0</v>
      </c>
      <c r="N30" s="22">
        <f>(('(4)Income &amp; Expense Input'!$E$12*'(4)Income &amp; Expense Input'!M41)*(1+'(4)Income &amp; Expense Input'!N41))*(1-'(4)Income &amp; Expense Input'!$E$14)</f>
        <v>0</v>
      </c>
      <c r="O30" s="22">
        <f>(('(4)Income &amp; Expense Input'!$E$12*'(4)Income &amp; Expense Input'!N41)*(1+'(4)Income &amp; Expense Input'!O41))*(1-'(4)Income &amp; Expense Input'!$E$14)</f>
        <v>0</v>
      </c>
      <c r="P30" s="126"/>
    </row>
    <row r="31" spans="2:16" x14ac:dyDescent="0.3">
      <c r="B31" s="125"/>
      <c r="C31" s="9">
        <v>17</v>
      </c>
      <c r="D31" s="10" t="s">
        <v>219</v>
      </c>
      <c r="E31" s="23">
        <f>((E12-E16+SUM(E25:E30))/(1-'(4)Income &amp; Expense Input'!E42))-(E12-E16+SUM(E25:E30))</f>
        <v>0</v>
      </c>
      <c r="F31" s="23">
        <f>((F12-F16+SUM(F25:F30))/(1-'(4)Income &amp; Expense Input'!F42))-(F12-F16+SUM(F25:F30))</f>
        <v>0</v>
      </c>
      <c r="G31" s="23">
        <f>((G12-G16+SUM(G25:G30))/(1-'(4)Income &amp; Expense Input'!G42))-(G12-G16+SUM(G25:G30))</f>
        <v>0</v>
      </c>
      <c r="H31" s="23">
        <f>((H12-H16+SUM(H25:H30))/(1-'(4)Income &amp; Expense Input'!H42))-(H12-H16+SUM(H25:H30))</f>
        <v>0</v>
      </c>
      <c r="I31" s="23">
        <f>((I12-I16+SUM(I25:I30))/(1-'(4)Income &amp; Expense Input'!I42))-(I12-I16+SUM(I25:I30))</f>
        <v>0</v>
      </c>
      <c r="J31" s="23">
        <f>((J12-J16+SUM(J25:J30))/(1-'(4)Income &amp; Expense Input'!J42))-(J12-J16+SUM(J25:J30))</f>
        <v>0</v>
      </c>
      <c r="K31" s="23">
        <f>((K12-K16+SUM(K25:K30))/(1-'(4)Income &amp; Expense Input'!K42))-(K12-K16+SUM(K25:K30))</f>
        <v>0</v>
      </c>
      <c r="L31" s="23">
        <f>((L12-L16+SUM(L25:L30))/(1-'(4)Income &amp; Expense Input'!L42))-(L12-L16+SUM(L25:L30))</f>
        <v>0</v>
      </c>
      <c r="M31" s="23">
        <f>((M12-M16+SUM(M25:M30))/(1-'(4)Income &amp; Expense Input'!M42))-(M12-M16+SUM(M25:M30))</f>
        <v>0</v>
      </c>
      <c r="N31" s="23">
        <f>((N12-N16+SUM(N25:N30))/(1-'(4)Income &amp; Expense Input'!N42))-(N12-N16+SUM(N25:N30))</f>
        <v>0</v>
      </c>
      <c r="O31" s="23">
        <f>((O12-O16+SUM(O25:O30))/(1-'(4)Income &amp; Expense Input'!O42))-(O12-O16+SUM(O25:O30))</f>
        <v>0</v>
      </c>
      <c r="P31" s="126"/>
    </row>
    <row r="32" spans="2:16" x14ac:dyDescent="0.3">
      <c r="B32" s="125"/>
      <c r="E32" s="5"/>
      <c r="F32" s="5"/>
      <c r="G32" s="5"/>
      <c r="H32" s="5"/>
      <c r="I32" s="5"/>
      <c r="J32" s="5"/>
      <c r="K32" s="5"/>
      <c r="L32" s="5"/>
      <c r="M32" s="5"/>
      <c r="N32" s="5"/>
      <c r="O32" s="5"/>
      <c r="P32" s="126"/>
    </row>
    <row r="33" spans="2:16" x14ac:dyDescent="0.3">
      <c r="B33" s="125"/>
      <c r="C33" s="204" t="s">
        <v>220</v>
      </c>
      <c r="D33" s="205"/>
      <c r="E33" s="205"/>
      <c r="F33" s="205"/>
      <c r="G33" s="205"/>
      <c r="H33" s="205"/>
      <c r="I33" s="205"/>
      <c r="J33" s="205"/>
      <c r="K33" s="205"/>
      <c r="L33" s="205"/>
      <c r="M33" s="205"/>
      <c r="N33" s="205"/>
      <c r="O33" s="206"/>
      <c r="P33" s="126"/>
    </row>
    <row r="34" spans="2:16" x14ac:dyDescent="0.3">
      <c r="B34" s="125"/>
      <c r="C34" s="15" t="s">
        <v>75</v>
      </c>
      <c r="D34" s="13"/>
      <c r="E34" s="14">
        <v>1</v>
      </c>
      <c r="F34" s="14">
        <v>2</v>
      </c>
      <c r="G34" s="14">
        <v>3</v>
      </c>
      <c r="H34" s="14">
        <v>4</v>
      </c>
      <c r="I34" s="14">
        <v>5</v>
      </c>
      <c r="J34" s="14">
        <v>6</v>
      </c>
      <c r="K34" s="14">
        <v>7</v>
      </c>
      <c r="L34" s="14">
        <v>8</v>
      </c>
      <c r="M34" s="14">
        <v>9</v>
      </c>
      <c r="N34" s="14">
        <v>10</v>
      </c>
      <c r="O34" s="14">
        <v>11</v>
      </c>
      <c r="P34" s="126"/>
    </row>
    <row r="35" spans="2:16" x14ac:dyDescent="0.3">
      <c r="B35" s="125"/>
      <c r="C35" s="7">
        <v>18</v>
      </c>
      <c r="D35" s="8" t="s">
        <v>213</v>
      </c>
      <c r="E35" s="21">
        <f>('(4)Income &amp; Expense Input'!$E$15*'(4)Income &amp; Expense Input'!E46)*(1-'(4)Income &amp; Expense Input'!$E$17)</f>
        <v>0</v>
      </c>
      <c r="F35" s="21">
        <f>(('(4)Income &amp; Expense Input'!$E$15*'(4)Income &amp; Expense Input'!E46)*(1+'(4)Income &amp; Expense Input'!F46))*(1-'(4)Income &amp; Expense Input'!$E$17)</f>
        <v>0</v>
      </c>
      <c r="G35" s="21">
        <f>(('(4)Income &amp; Expense Input'!$E$15*'(4)Income &amp; Expense Input'!F46)*(1+'(4)Income &amp; Expense Input'!G46))*(1-'(4)Income &amp; Expense Input'!$E$17)</f>
        <v>0</v>
      </c>
      <c r="H35" s="21">
        <f>(('(4)Income &amp; Expense Input'!$E$15*'(4)Income &amp; Expense Input'!G46)*(1+'(4)Income &amp; Expense Input'!H46))*(1-'(4)Income &amp; Expense Input'!$E$17)</f>
        <v>0</v>
      </c>
      <c r="I35" s="21">
        <f>(('(4)Income &amp; Expense Input'!$E$15*'(4)Income &amp; Expense Input'!H46)*(1+'(4)Income &amp; Expense Input'!I46))*(1-'(4)Income &amp; Expense Input'!$E$17)</f>
        <v>0</v>
      </c>
      <c r="J35" s="21">
        <f>(('(4)Income &amp; Expense Input'!$E$15*'(4)Income &amp; Expense Input'!I46)*(1+'(4)Income &amp; Expense Input'!J46))*(1-'(4)Income &amp; Expense Input'!$E$17)</f>
        <v>0</v>
      </c>
      <c r="K35" s="21">
        <f>(('(4)Income &amp; Expense Input'!$E$15*'(4)Income &amp; Expense Input'!J46)*(1+'(4)Income &amp; Expense Input'!K46))*(1-'(4)Income &amp; Expense Input'!$E$17)</f>
        <v>0</v>
      </c>
      <c r="L35" s="21">
        <f>(('(4)Income &amp; Expense Input'!$E$15*'(4)Income &amp; Expense Input'!K46)*(1+'(4)Income &amp; Expense Input'!L46))*(1-'(4)Income &amp; Expense Input'!$E$17)</f>
        <v>0</v>
      </c>
      <c r="M35" s="21">
        <f>(('(4)Income &amp; Expense Input'!$E$15*'(4)Income &amp; Expense Input'!L46)*(1+'(4)Income &amp; Expense Input'!M46))*(1-'(4)Income &amp; Expense Input'!$E$17)</f>
        <v>0</v>
      </c>
      <c r="N35" s="21">
        <f>(('(4)Income &amp; Expense Input'!$E$15*'(4)Income &amp; Expense Input'!M46)*(1+'(4)Income &amp; Expense Input'!N46))*(1-'(4)Income &amp; Expense Input'!$E$17)</f>
        <v>0</v>
      </c>
      <c r="O35" s="21">
        <f>(('(4)Income &amp; Expense Input'!$E$15*'(4)Income &amp; Expense Input'!N46)*(1+'(4)Income &amp; Expense Input'!O46))*(1-'(4)Income &amp; Expense Input'!$E$17)</f>
        <v>0</v>
      </c>
      <c r="P35" s="126"/>
    </row>
    <row r="36" spans="2:16" x14ac:dyDescent="0.3">
      <c r="B36" s="125"/>
      <c r="C36" s="11">
        <v>19</v>
      </c>
      <c r="D36" s="12" t="s">
        <v>214</v>
      </c>
      <c r="E36" s="22">
        <f>('(4)Income &amp; Expense Input'!$E$15*'(4)Income &amp; Expense Input'!E47)*(1-'(4)Income &amp; Expense Input'!$E$17)</f>
        <v>0</v>
      </c>
      <c r="F36" s="22">
        <f>(('(4)Income &amp; Expense Input'!$E$15*'(4)Income &amp; Expense Input'!E47)*(1+'(4)Income &amp; Expense Input'!F47))*(1-'(4)Income &amp; Expense Input'!$E$17)</f>
        <v>0</v>
      </c>
      <c r="G36" s="22">
        <f>(('(4)Income &amp; Expense Input'!$E$15*'(4)Income &amp; Expense Input'!F47)*(1+'(4)Income &amp; Expense Input'!G47))*(1-'(4)Income &amp; Expense Input'!$E$17)</f>
        <v>0</v>
      </c>
      <c r="H36" s="22">
        <f>(('(4)Income &amp; Expense Input'!$E$15*'(4)Income &amp; Expense Input'!G47)*(1+'(4)Income &amp; Expense Input'!H47))*(1-'(4)Income &amp; Expense Input'!$E$17)</f>
        <v>0</v>
      </c>
      <c r="I36" s="22">
        <f>(('(4)Income &amp; Expense Input'!$E$15*'(4)Income &amp; Expense Input'!H47)*(1+'(4)Income &amp; Expense Input'!I47))*(1-'(4)Income &amp; Expense Input'!$E$17)</f>
        <v>0</v>
      </c>
      <c r="J36" s="22">
        <f>(('(4)Income &amp; Expense Input'!$E$15*'(4)Income &amp; Expense Input'!I47)*(1+'(4)Income &amp; Expense Input'!J47))*(1-'(4)Income &amp; Expense Input'!$E$17)</f>
        <v>0</v>
      </c>
      <c r="K36" s="22">
        <f>(('(4)Income &amp; Expense Input'!$E$15*'(4)Income &amp; Expense Input'!J47)*(1+'(4)Income &amp; Expense Input'!K47))*(1-'(4)Income &amp; Expense Input'!$E$17)</f>
        <v>0</v>
      </c>
      <c r="L36" s="22">
        <f>(('(4)Income &amp; Expense Input'!$E$15*'(4)Income &amp; Expense Input'!K47)*(1+'(4)Income &amp; Expense Input'!L47))*(1-'(4)Income &amp; Expense Input'!$E$17)</f>
        <v>0</v>
      </c>
      <c r="M36" s="22">
        <f>(('(4)Income &amp; Expense Input'!$E$15*'(4)Income &amp; Expense Input'!L47)*(1+'(4)Income &amp; Expense Input'!M47))*(1-'(4)Income &amp; Expense Input'!$E$17)</f>
        <v>0</v>
      </c>
      <c r="N36" s="22">
        <f>(('(4)Income &amp; Expense Input'!$E$15*'(4)Income &amp; Expense Input'!M47)*(1+'(4)Income &amp; Expense Input'!N47))*(1-'(4)Income &amp; Expense Input'!$E$17)</f>
        <v>0</v>
      </c>
      <c r="O36" s="22">
        <f>(('(4)Income &amp; Expense Input'!$E$15*'(4)Income &amp; Expense Input'!N47)*(1+'(4)Income &amp; Expense Input'!O47))*(1-'(4)Income &amp; Expense Input'!$E$17)</f>
        <v>0</v>
      </c>
      <c r="P36" s="126"/>
    </row>
    <row r="37" spans="2:16" x14ac:dyDescent="0.3">
      <c r="B37" s="125"/>
      <c r="C37" s="11">
        <v>20</v>
      </c>
      <c r="D37" s="12" t="s">
        <v>215</v>
      </c>
      <c r="E37" s="22">
        <f>('(4)Income &amp; Expense Input'!$E$15*'(4)Income &amp; Expense Input'!E48)*(1-'(4)Income &amp; Expense Input'!$E$17)</f>
        <v>0</v>
      </c>
      <c r="F37" s="22">
        <f>(('(4)Income &amp; Expense Input'!$E$15*'(4)Income &amp; Expense Input'!E48)*(1+'(4)Income &amp; Expense Input'!F48))*(1-'(4)Income &amp; Expense Input'!$E$17)</f>
        <v>0</v>
      </c>
      <c r="G37" s="22">
        <f>(('(4)Income &amp; Expense Input'!$E$15*'(4)Income &amp; Expense Input'!F48)*(1+'(4)Income &amp; Expense Input'!G48))*(1-'(4)Income &amp; Expense Input'!$E$17)</f>
        <v>0</v>
      </c>
      <c r="H37" s="22">
        <f>(('(4)Income &amp; Expense Input'!$E$15*'(4)Income &amp; Expense Input'!G48)*(1+'(4)Income &amp; Expense Input'!H48))*(1-'(4)Income &amp; Expense Input'!$E$17)</f>
        <v>0</v>
      </c>
      <c r="I37" s="22">
        <f>(('(4)Income &amp; Expense Input'!$E$15*'(4)Income &amp; Expense Input'!H48)*(1+'(4)Income &amp; Expense Input'!I48))*(1-'(4)Income &amp; Expense Input'!$E$17)</f>
        <v>0</v>
      </c>
      <c r="J37" s="22">
        <f>(('(4)Income &amp; Expense Input'!$E$15*'(4)Income &amp; Expense Input'!I48)*(1+'(4)Income &amp; Expense Input'!J48))*(1-'(4)Income &amp; Expense Input'!$E$17)</f>
        <v>0</v>
      </c>
      <c r="K37" s="22">
        <f>(('(4)Income &amp; Expense Input'!$E$15*'(4)Income &amp; Expense Input'!J48)*(1+'(4)Income &amp; Expense Input'!K48))*(1-'(4)Income &amp; Expense Input'!$E$17)</f>
        <v>0</v>
      </c>
      <c r="L37" s="22">
        <f>(('(4)Income &amp; Expense Input'!$E$15*'(4)Income &amp; Expense Input'!K48)*(1+'(4)Income &amp; Expense Input'!L48))*(1-'(4)Income &amp; Expense Input'!$E$17)</f>
        <v>0</v>
      </c>
      <c r="M37" s="22">
        <f>(('(4)Income &amp; Expense Input'!$E$15*'(4)Income &amp; Expense Input'!L48)*(1+'(4)Income &amp; Expense Input'!M48))*(1-'(4)Income &amp; Expense Input'!$E$17)</f>
        <v>0</v>
      </c>
      <c r="N37" s="22">
        <f>(('(4)Income &amp; Expense Input'!$E$15*'(4)Income &amp; Expense Input'!M48)*(1+'(4)Income &amp; Expense Input'!N48))*(1-'(4)Income &amp; Expense Input'!$E$17)</f>
        <v>0</v>
      </c>
      <c r="O37" s="22">
        <f>(('(4)Income &amp; Expense Input'!$E$15*'(4)Income &amp; Expense Input'!N48)*(1+'(4)Income &amp; Expense Input'!O48))*(1-'(4)Income &amp; Expense Input'!$E$17)</f>
        <v>0</v>
      </c>
      <c r="P37" s="126"/>
    </row>
    <row r="38" spans="2:16" x14ac:dyDescent="0.3">
      <c r="B38" s="125"/>
      <c r="C38" s="11">
        <v>21</v>
      </c>
      <c r="D38" s="12" t="s">
        <v>216</v>
      </c>
      <c r="E38" s="22">
        <f>('(4)Income &amp; Expense Input'!$E$15*'(4)Income &amp; Expense Input'!E49)*(1-'(4)Income &amp; Expense Input'!$E$17)</f>
        <v>0</v>
      </c>
      <c r="F38" s="22">
        <f>(('(4)Income &amp; Expense Input'!$E$15*'(4)Income &amp; Expense Input'!E49)*(1+'(4)Income &amp; Expense Input'!F49))*(1-'(4)Income &amp; Expense Input'!$E$17)</f>
        <v>0</v>
      </c>
      <c r="G38" s="22">
        <f>(('(4)Income &amp; Expense Input'!$E$15*'(4)Income &amp; Expense Input'!F49)*(1+'(4)Income &amp; Expense Input'!G49))*(1-'(4)Income &amp; Expense Input'!$E$17)</f>
        <v>0</v>
      </c>
      <c r="H38" s="22">
        <f>(('(4)Income &amp; Expense Input'!$E$15*'(4)Income &amp; Expense Input'!G49)*(1+'(4)Income &amp; Expense Input'!H49))*(1-'(4)Income &amp; Expense Input'!$E$17)</f>
        <v>0</v>
      </c>
      <c r="I38" s="22">
        <f>(('(4)Income &amp; Expense Input'!$E$15*'(4)Income &amp; Expense Input'!H49)*(1+'(4)Income &amp; Expense Input'!I49))*(1-'(4)Income &amp; Expense Input'!$E$17)</f>
        <v>0</v>
      </c>
      <c r="J38" s="22">
        <f>(('(4)Income &amp; Expense Input'!$E$15*'(4)Income &amp; Expense Input'!I49)*(1+'(4)Income &amp; Expense Input'!J49))*(1-'(4)Income &amp; Expense Input'!$E$17)</f>
        <v>0</v>
      </c>
      <c r="K38" s="22">
        <f>(('(4)Income &amp; Expense Input'!$E$15*'(4)Income &amp; Expense Input'!J49)*(1+'(4)Income &amp; Expense Input'!K49))*(1-'(4)Income &amp; Expense Input'!$E$17)</f>
        <v>0</v>
      </c>
      <c r="L38" s="22">
        <f>(('(4)Income &amp; Expense Input'!$E$15*'(4)Income &amp; Expense Input'!K49)*(1+'(4)Income &amp; Expense Input'!L49))*(1-'(4)Income &amp; Expense Input'!$E$17)</f>
        <v>0</v>
      </c>
      <c r="M38" s="22">
        <f>(('(4)Income &amp; Expense Input'!$E$15*'(4)Income &amp; Expense Input'!L49)*(1+'(4)Income &amp; Expense Input'!M49))*(1-'(4)Income &amp; Expense Input'!$E$17)</f>
        <v>0</v>
      </c>
      <c r="N38" s="22">
        <f>(('(4)Income &amp; Expense Input'!$E$15*'(4)Income &amp; Expense Input'!M49)*(1+'(4)Income &amp; Expense Input'!N49))*(1-'(4)Income &amp; Expense Input'!$E$17)</f>
        <v>0</v>
      </c>
      <c r="O38" s="22">
        <f>(('(4)Income &amp; Expense Input'!$E$15*'(4)Income &amp; Expense Input'!N49)*(1+'(4)Income &amp; Expense Input'!O49))*(1-'(4)Income &amp; Expense Input'!$E$17)</f>
        <v>0</v>
      </c>
      <c r="P38" s="126"/>
    </row>
    <row r="39" spans="2:16" x14ac:dyDescent="0.3">
      <c r="B39" s="125"/>
      <c r="C39" s="11">
        <v>22</v>
      </c>
      <c r="D39" s="12" t="s">
        <v>217</v>
      </c>
      <c r="E39" s="22">
        <f>('(4)Income &amp; Expense Input'!$E$15*'(4)Income &amp; Expense Input'!E50)*(1-'(4)Income &amp; Expense Input'!$E$17)</f>
        <v>0</v>
      </c>
      <c r="F39" s="22">
        <f>(('(4)Income &amp; Expense Input'!$E$15*'(4)Income &amp; Expense Input'!E50)*(1+'(4)Income &amp; Expense Input'!F50))*(1-'(4)Income &amp; Expense Input'!$E$17)</f>
        <v>0</v>
      </c>
      <c r="G39" s="22">
        <f>(('(4)Income &amp; Expense Input'!$E$15*'(4)Income &amp; Expense Input'!F50)*(1+'(4)Income &amp; Expense Input'!G50))*(1-'(4)Income &amp; Expense Input'!$E$17)</f>
        <v>0</v>
      </c>
      <c r="H39" s="22">
        <f>(('(4)Income &amp; Expense Input'!$E$15*'(4)Income &amp; Expense Input'!G50)*(1+'(4)Income &amp; Expense Input'!H50))*(1-'(4)Income &amp; Expense Input'!$E$17)</f>
        <v>0</v>
      </c>
      <c r="I39" s="22">
        <f>(('(4)Income &amp; Expense Input'!$E$15*'(4)Income &amp; Expense Input'!H50)*(1+'(4)Income &amp; Expense Input'!I50))*(1-'(4)Income &amp; Expense Input'!$E$17)</f>
        <v>0</v>
      </c>
      <c r="J39" s="22">
        <f>(('(4)Income &amp; Expense Input'!$E$15*'(4)Income &amp; Expense Input'!I50)*(1+'(4)Income &amp; Expense Input'!J50))*(1-'(4)Income &amp; Expense Input'!$E$17)</f>
        <v>0</v>
      </c>
      <c r="K39" s="22">
        <f>(('(4)Income &amp; Expense Input'!$E$15*'(4)Income &amp; Expense Input'!J50)*(1+'(4)Income &amp; Expense Input'!K50))*(1-'(4)Income &amp; Expense Input'!$E$17)</f>
        <v>0</v>
      </c>
      <c r="L39" s="22">
        <f>(('(4)Income &amp; Expense Input'!$E$15*'(4)Income &amp; Expense Input'!K50)*(1+'(4)Income &amp; Expense Input'!L50))*(1-'(4)Income &amp; Expense Input'!$E$17)</f>
        <v>0</v>
      </c>
      <c r="M39" s="22">
        <f>(('(4)Income &amp; Expense Input'!$E$15*'(4)Income &amp; Expense Input'!L50)*(1+'(4)Income &amp; Expense Input'!M50))*(1-'(4)Income &amp; Expense Input'!$E$17)</f>
        <v>0</v>
      </c>
      <c r="N39" s="22">
        <f>(('(4)Income &amp; Expense Input'!$E$15*'(4)Income &amp; Expense Input'!M50)*(1+'(4)Income &amp; Expense Input'!N50))*(1-'(4)Income &amp; Expense Input'!$E$17)</f>
        <v>0</v>
      </c>
      <c r="O39" s="22">
        <f>(('(4)Income &amp; Expense Input'!$E$15*'(4)Income &amp; Expense Input'!N50)*(1+'(4)Income &amp; Expense Input'!O50))*(1-'(4)Income &amp; Expense Input'!$E$17)</f>
        <v>0</v>
      </c>
      <c r="P39" s="126"/>
    </row>
    <row r="40" spans="2:16" x14ac:dyDescent="0.3">
      <c r="B40" s="125"/>
      <c r="C40" s="11">
        <v>23</v>
      </c>
      <c r="D40" s="12" t="s">
        <v>218</v>
      </c>
      <c r="E40" s="22">
        <f>('(4)Income &amp; Expense Input'!$E$15*'(4)Income &amp; Expense Input'!E51)*(1-'(4)Income &amp; Expense Input'!$E$17)</f>
        <v>0</v>
      </c>
      <c r="F40" s="22">
        <f>(('(4)Income &amp; Expense Input'!$E$15*'(4)Income &amp; Expense Input'!E51)*(1+'(4)Income &amp; Expense Input'!F51))*(1-'(4)Income &amp; Expense Input'!$E$17)</f>
        <v>0</v>
      </c>
      <c r="G40" s="22">
        <f>(('(4)Income &amp; Expense Input'!$E$15*'(4)Income &amp; Expense Input'!F51)*(1+'(4)Income &amp; Expense Input'!G51))*(1-'(4)Income &amp; Expense Input'!$E$17)</f>
        <v>0</v>
      </c>
      <c r="H40" s="22">
        <f>(('(4)Income &amp; Expense Input'!$E$15*'(4)Income &amp; Expense Input'!G51)*(1+'(4)Income &amp; Expense Input'!H51))*(1-'(4)Income &amp; Expense Input'!$E$17)</f>
        <v>0</v>
      </c>
      <c r="I40" s="22">
        <f>(('(4)Income &amp; Expense Input'!$E$15*'(4)Income &amp; Expense Input'!H51)*(1+'(4)Income &amp; Expense Input'!I51))*(1-'(4)Income &amp; Expense Input'!$E$17)</f>
        <v>0</v>
      </c>
      <c r="J40" s="22">
        <f>(('(4)Income &amp; Expense Input'!$E$15*'(4)Income &amp; Expense Input'!I51)*(1+'(4)Income &amp; Expense Input'!J51))*(1-'(4)Income &amp; Expense Input'!$E$17)</f>
        <v>0</v>
      </c>
      <c r="K40" s="22">
        <f>(('(4)Income &amp; Expense Input'!$E$15*'(4)Income &amp; Expense Input'!J51)*(1+'(4)Income &amp; Expense Input'!K51))*(1-'(4)Income &amp; Expense Input'!$E$17)</f>
        <v>0</v>
      </c>
      <c r="L40" s="22">
        <f>(('(4)Income &amp; Expense Input'!$E$15*'(4)Income &amp; Expense Input'!K51)*(1+'(4)Income &amp; Expense Input'!L51))*(1-'(4)Income &amp; Expense Input'!$E$17)</f>
        <v>0</v>
      </c>
      <c r="M40" s="22">
        <f>(('(4)Income &amp; Expense Input'!$E$15*'(4)Income &amp; Expense Input'!L51)*(1+'(4)Income &amp; Expense Input'!M51))*(1-'(4)Income &amp; Expense Input'!$E$17)</f>
        <v>0</v>
      </c>
      <c r="N40" s="22">
        <f>(('(4)Income &amp; Expense Input'!$E$15*'(4)Income &amp; Expense Input'!M51)*(1+'(4)Income &amp; Expense Input'!N51))*(1-'(4)Income &amp; Expense Input'!$E$17)</f>
        <v>0</v>
      </c>
      <c r="O40" s="22">
        <f>(('(4)Income &amp; Expense Input'!$E$15*'(4)Income &amp; Expense Input'!N51)*(1+'(4)Income &amp; Expense Input'!O51))*(1-'(4)Income &amp; Expense Input'!$E$17)</f>
        <v>0</v>
      </c>
      <c r="P40" s="126"/>
    </row>
    <row r="41" spans="2:16" x14ac:dyDescent="0.3">
      <c r="B41" s="125"/>
      <c r="C41" s="9">
        <v>24</v>
      </c>
      <c r="D41" s="10" t="s">
        <v>219</v>
      </c>
      <c r="E41" s="23">
        <f>((E13-E17+SUM(E35:E40))/(1-'(4)Income &amp; Expense Input'!E52))-(E13-E17+SUM(E35:E40))</f>
        <v>0</v>
      </c>
      <c r="F41" s="23">
        <f>((F13-F17+SUM(F35:F40))/(1-'(4)Income &amp; Expense Input'!F52))-(F13-F17+SUM(F35:F40))</f>
        <v>0</v>
      </c>
      <c r="G41" s="23">
        <f>((G13-G17+SUM(G35:G40))/(1-'(4)Income &amp; Expense Input'!G52))-(G13-G17+SUM(G35:G40))</f>
        <v>0</v>
      </c>
      <c r="H41" s="23">
        <f>((H13-H17+SUM(H35:H40))/(1-'(4)Income &amp; Expense Input'!H52))-(H13-H17+SUM(H35:H40))</f>
        <v>0</v>
      </c>
      <c r="I41" s="23">
        <f>((I13-I17+SUM(I35:I40))/(1-'(4)Income &amp; Expense Input'!I52))-(I13-I17+SUM(I35:I40))</f>
        <v>0</v>
      </c>
      <c r="J41" s="23">
        <f>((J13-J17+SUM(J35:J40))/(1-'(4)Income &amp; Expense Input'!J52))-(J13-J17+SUM(J35:J40))</f>
        <v>0</v>
      </c>
      <c r="K41" s="23">
        <f>((K13-K17+SUM(K35:K40))/(1-'(4)Income &amp; Expense Input'!K52))-(K13-K17+SUM(K35:K40))</f>
        <v>0</v>
      </c>
      <c r="L41" s="23">
        <f>((L13-L17+SUM(L35:L40))/(1-'(4)Income &amp; Expense Input'!L52))-(L13-L17+SUM(L35:L40))</f>
        <v>0</v>
      </c>
      <c r="M41" s="23">
        <f>((M13-M17+SUM(M35:M40))/(1-'(4)Income &amp; Expense Input'!M52))-(M13-M17+SUM(M35:M40))</f>
        <v>0</v>
      </c>
      <c r="N41" s="23">
        <f>((N13-N17+SUM(N35:N40))/(1-'(4)Income &amp; Expense Input'!N52))-(N13-N17+SUM(N35:N40))</f>
        <v>0</v>
      </c>
      <c r="O41" s="23">
        <f>((O13-O17+SUM(O35:O40))/(1-'(4)Income &amp; Expense Input'!O52))-(O13-O17+SUM(O35:O40))</f>
        <v>0</v>
      </c>
      <c r="P41" s="126"/>
    </row>
    <row r="42" spans="2:16" x14ac:dyDescent="0.3">
      <c r="B42" s="125"/>
      <c r="E42" s="5"/>
      <c r="F42" s="5"/>
      <c r="G42" s="5"/>
      <c r="H42" s="5"/>
      <c r="I42" s="5"/>
      <c r="J42" s="5"/>
      <c r="K42" s="5"/>
      <c r="L42" s="5"/>
      <c r="M42" s="5"/>
      <c r="N42" s="5"/>
      <c r="O42" s="5"/>
      <c r="P42" s="126"/>
    </row>
    <row r="43" spans="2:16" x14ac:dyDescent="0.3">
      <c r="B43" s="125"/>
      <c r="C43" s="204" t="s">
        <v>221</v>
      </c>
      <c r="D43" s="205"/>
      <c r="E43" s="205"/>
      <c r="F43" s="205"/>
      <c r="G43" s="205"/>
      <c r="H43" s="205"/>
      <c r="I43" s="205"/>
      <c r="J43" s="205"/>
      <c r="K43" s="205"/>
      <c r="L43" s="205"/>
      <c r="M43" s="205"/>
      <c r="N43" s="205"/>
      <c r="O43" s="206"/>
      <c r="P43" s="126"/>
    </row>
    <row r="44" spans="2:16" x14ac:dyDescent="0.3">
      <c r="B44" s="125"/>
      <c r="C44" s="15" t="s">
        <v>75</v>
      </c>
      <c r="D44" s="13"/>
      <c r="E44" s="14">
        <v>1</v>
      </c>
      <c r="F44" s="14">
        <v>2</v>
      </c>
      <c r="G44" s="14">
        <v>3</v>
      </c>
      <c r="H44" s="14">
        <v>4</v>
      </c>
      <c r="I44" s="14">
        <v>5</v>
      </c>
      <c r="J44" s="14">
        <v>6</v>
      </c>
      <c r="K44" s="14">
        <v>7</v>
      </c>
      <c r="L44" s="14">
        <v>8</v>
      </c>
      <c r="M44" s="14">
        <v>9</v>
      </c>
      <c r="N44" s="14">
        <v>10</v>
      </c>
      <c r="O44" s="14">
        <v>11</v>
      </c>
      <c r="P44" s="126"/>
    </row>
    <row r="45" spans="2:16" x14ac:dyDescent="0.3">
      <c r="B45" s="125"/>
      <c r="C45" s="7">
        <v>25</v>
      </c>
      <c r="D45" s="8" t="s">
        <v>213</v>
      </c>
      <c r="E45" s="21">
        <f>('(4)Income &amp; Expense Input'!$E$18*'(4)Income &amp; Expense Input'!E56)*(1-'(4)Income &amp; Expense Input'!$E$20)</f>
        <v>0</v>
      </c>
      <c r="F45" s="21">
        <f>(('(4)Income &amp; Expense Input'!$E$18*'(4)Income &amp; Expense Input'!E56)*(1+'(4)Income &amp; Expense Input'!F56))*(1-'(4)Income &amp; Expense Input'!$E$20)</f>
        <v>0</v>
      </c>
      <c r="G45" s="21">
        <f>(('(4)Income &amp; Expense Input'!$E$18*'(4)Income &amp; Expense Input'!F56)*(1+'(4)Income &amp; Expense Input'!G56))*(1-'(4)Income &amp; Expense Input'!$E$20)</f>
        <v>0</v>
      </c>
      <c r="H45" s="21">
        <f>(('(4)Income &amp; Expense Input'!$E$18*'(4)Income &amp; Expense Input'!G56)*(1+'(4)Income &amp; Expense Input'!H56))*(1-'(4)Income &amp; Expense Input'!$E$20)</f>
        <v>0</v>
      </c>
      <c r="I45" s="21">
        <f>(('(4)Income &amp; Expense Input'!$E$18*'(4)Income &amp; Expense Input'!H56)*(1+'(4)Income &amp; Expense Input'!I56))*(1-'(4)Income &amp; Expense Input'!$E$20)</f>
        <v>0</v>
      </c>
      <c r="J45" s="21">
        <f>(('(4)Income &amp; Expense Input'!$E$18*'(4)Income &amp; Expense Input'!I56)*(1+'(4)Income &amp; Expense Input'!J56))*(1-'(4)Income &amp; Expense Input'!$E$20)</f>
        <v>0</v>
      </c>
      <c r="K45" s="21">
        <f>(('(4)Income &amp; Expense Input'!$E$18*'(4)Income &amp; Expense Input'!J56)*(1+'(4)Income &amp; Expense Input'!K56))*(1-'(4)Income &amp; Expense Input'!$E$20)</f>
        <v>0</v>
      </c>
      <c r="L45" s="21">
        <f>(('(4)Income &amp; Expense Input'!$E$18*'(4)Income &amp; Expense Input'!K56)*(1+'(4)Income &amp; Expense Input'!L56))*(1-'(4)Income &amp; Expense Input'!$E$20)</f>
        <v>0</v>
      </c>
      <c r="M45" s="21">
        <f>(('(4)Income &amp; Expense Input'!$E$18*'(4)Income &amp; Expense Input'!L56)*(1+'(4)Income &amp; Expense Input'!M56))*(1-'(4)Income &amp; Expense Input'!$E$20)</f>
        <v>0</v>
      </c>
      <c r="N45" s="21">
        <f>(('(4)Income &amp; Expense Input'!$E$18*'(4)Income &amp; Expense Input'!M56)*(1+'(4)Income &amp; Expense Input'!N56))*(1-'(4)Income &amp; Expense Input'!$E$20)</f>
        <v>0</v>
      </c>
      <c r="O45" s="21">
        <f>(('(4)Income &amp; Expense Input'!$E$18*'(4)Income &amp; Expense Input'!N56)*(1+'(4)Income &amp; Expense Input'!O56))*(1-'(4)Income &amp; Expense Input'!$E$20)</f>
        <v>0</v>
      </c>
      <c r="P45" s="126"/>
    </row>
    <row r="46" spans="2:16" x14ac:dyDescent="0.3">
      <c r="B46" s="125"/>
      <c r="C46" s="11">
        <v>26</v>
      </c>
      <c r="D46" s="12" t="s">
        <v>214</v>
      </c>
      <c r="E46" s="22">
        <f>('(4)Income &amp; Expense Input'!$E$18*'(4)Income &amp; Expense Input'!E57)*(1-'(4)Income &amp; Expense Input'!$E$20)</f>
        <v>0</v>
      </c>
      <c r="F46" s="22">
        <f>(('(4)Income &amp; Expense Input'!$E$18*'(4)Income &amp; Expense Input'!E57)*(1+'(4)Income &amp; Expense Input'!F57))*(1-'(4)Income &amp; Expense Input'!$E$20)</f>
        <v>0</v>
      </c>
      <c r="G46" s="22">
        <f>(('(4)Income &amp; Expense Input'!$E$18*'(4)Income &amp; Expense Input'!F57)*(1+'(4)Income &amp; Expense Input'!G57))*(1-'(4)Income &amp; Expense Input'!$E$20)</f>
        <v>0</v>
      </c>
      <c r="H46" s="22">
        <f>(('(4)Income &amp; Expense Input'!$E$18*'(4)Income &amp; Expense Input'!G57)*(1+'(4)Income &amp; Expense Input'!H57))*(1-'(4)Income &amp; Expense Input'!$E$20)</f>
        <v>0</v>
      </c>
      <c r="I46" s="22">
        <f>(('(4)Income &amp; Expense Input'!$E$18*'(4)Income &amp; Expense Input'!H57)*(1+'(4)Income &amp; Expense Input'!I57))*(1-'(4)Income &amp; Expense Input'!$E$20)</f>
        <v>0</v>
      </c>
      <c r="J46" s="22">
        <f>(('(4)Income &amp; Expense Input'!$E$18*'(4)Income &amp; Expense Input'!I57)*(1+'(4)Income &amp; Expense Input'!J57))*(1-'(4)Income &amp; Expense Input'!$E$20)</f>
        <v>0</v>
      </c>
      <c r="K46" s="22">
        <f>(('(4)Income &amp; Expense Input'!$E$18*'(4)Income &amp; Expense Input'!J57)*(1+'(4)Income &amp; Expense Input'!K57))*(1-'(4)Income &amp; Expense Input'!$E$20)</f>
        <v>0</v>
      </c>
      <c r="L46" s="22">
        <f>(('(4)Income &amp; Expense Input'!$E$18*'(4)Income &amp; Expense Input'!K57)*(1+'(4)Income &amp; Expense Input'!L57))*(1-'(4)Income &amp; Expense Input'!$E$20)</f>
        <v>0</v>
      </c>
      <c r="M46" s="22">
        <f>(('(4)Income &amp; Expense Input'!$E$18*'(4)Income &amp; Expense Input'!L57)*(1+'(4)Income &amp; Expense Input'!M57))*(1-'(4)Income &amp; Expense Input'!$E$20)</f>
        <v>0</v>
      </c>
      <c r="N46" s="22">
        <f>(('(4)Income &amp; Expense Input'!$E$18*'(4)Income &amp; Expense Input'!M57)*(1+'(4)Income &amp; Expense Input'!N57))*(1-'(4)Income &amp; Expense Input'!$E$20)</f>
        <v>0</v>
      </c>
      <c r="O46" s="22">
        <f>(('(4)Income &amp; Expense Input'!$E$18*'(4)Income &amp; Expense Input'!N57)*(1+'(4)Income &amp; Expense Input'!O57))*(1-'(4)Income &amp; Expense Input'!$E$20)</f>
        <v>0</v>
      </c>
      <c r="P46" s="126"/>
    </row>
    <row r="47" spans="2:16" x14ac:dyDescent="0.3">
      <c r="B47" s="125"/>
      <c r="C47" s="11">
        <v>27</v>
      </c>
      <c r="D47" s="12" t="s">
        <v>215</v>
      </c>
      <c r="E47" s="22">
        <f>('(4)Income &amp; Expense Input'!$E$18*'(4)Income &amp; Expense Input'!E58)*(1-'(4)Income &amp; Expense Input'!$E$20)</f>
        <v>0</v>
      </c>
      <c r="F47" s="22">
        <f>(('(4)Income &amp; Expense Input'!$E$18*'(4)Income &amp; Expense Input'!E58)*(1+'(4)Income &amp; Expense Input'!F58))*(1-'(4)Income &amp; Expense Input'!$E$20)</f>
        <v>0</v>
      </c>
      <c r="G47" s="22">
        <f>(('(4)Income &amp; Expense Input'!$E$18*'(4)Income &amp; Expense Input'!F58)*(1+'(4)Income &amp; Expense Input'!G58))*(1-'(4)Income &amp; Expense Input'!$E$20)</f>
        <v>0</v>
      </c>
      <c r="H47" s="22">
        <f>(('(4)Income &amp; Expense Input'!$E$18*'(4)Income &amp; Expense Input'!G58)*(1+'(4)Income &amp; Expense Input'!H58))*(1-'(4)Income &amp; Expense Input'!$E$20)</f>
        <v>0</v>
      </c>
      <c r="I47" s="22">
        <f>(('(4)Income &amp; Expense Input'!$E$18*'(4)Income &amp; Expense Input'!H58)*(1+'(4)Income &amp; Expense Input'!I58))*(1-'(4)Income &amp; Expense Input'!$E$20)</f>
        <v>0</v>
      </c>
      <c r="J47" s="22">
        <f>(('(4)Income &amp; Expense Input'!$E$18*'(4)Income &amp; Expense Input'!I58)*(1+'(4)Income &amp; Expense Input'!J58))*(1-'(4)Income &amp; Expense Input'!$E$20)</f>
        <v>0</v>
      </c>
      <c r="K47" s="22">
        <f>(('(4)Income &amp; Expense Input'!$E$18*'(4)Income &amp; Expense Input'!J58)*(1+'(4)Income &amp; Expense Input'!K58))*(1-'(4)Income &amp; Expense Input'!$E$20)</f>
        <v>0</v>
      </c>
      <c r="L47" s="22">
        <f>(('(4)Income &amp; Expense Input'!$E$18*'(4)Income &amp; Expense Input'!K58)*(1+'(4)Income &amp; Expense Input'!L58))*(1-'(4)Income &amp; Expense Input'!$E$20)</f>
        <v>0</v>
      </c>
      <c r="M47" s="22">
        <f>(('(4)Income &amp; Expense Input'!$E$18*'(4)Income &amp; Expense Input'!L58)*(1+'(4)Income &amp; Expense Input'!M58))*(1-'(4)Income &amp; Expense Input'!$E$20)</f>
        <v>0</v>
      </c>
      <c r="N47" s="22">
        <f>(('(4)Income &amp; Expense Input'!$E$18*'(4)Income &amp; Expense Input'!M58)*(1+'(4)Income &amp; Expense Input'!N58))*(1-'(4)Income &amp; Expense Input'!$E$20)</f>
        <v>0</v>
      </c>
      <c r="O47" s="22">
        <f>(('(4)Income &amp; Expense Input'!$E$18*'(4)Income &amp; Expense Input'!N58)*(1+'(4)Income &amp; Expense Input'!O58))*(1-'(4)Income &amp; Expense Input'!$E$20)</f>
        <v>0</v>
      </c>
      <c r="P47" s="126"/>
    </row>
    <row r="48" spans="2:16" x14ac:dyDescent="0.3">
      <c r="B48" s="125"/>
      <c r="C48" s="11">
        <v>28</v>
      </c>
      <c r="D48" s="12" t="s">
        <v>216</v>
      </c>
      <c r="E48" s="22">
        <f>('(4)Income &amp; Expense Input'!$E$18*'(4)Income &amp; Expense Input'!E59)*(1-'(4)Income &amp; Expense Input'!$E$20)</f>
        <v>0</v>
      </c>
      <c r="F48" s="22">
        <f>(('(4)Income &amp; Expense Input'!$E$18*'(4)Income &amp; Expense Input'!E59)*(1+'(4)Income &amp; Expense Input'!F59))*(1-'(4)Income &amp; Expense Input'!$E$20)</f>
        <v>0</v>
      </c>
      <c r="G48" s="22">
        <f>(('(4)Income &amp; Expense Input'!$E$18*'(4)Income &amp; Expense Input'!F59)*(1+'(4)Income &amp; Expense Input'!G59))*(1-'(4)Income &amp; Expense Input'!$E$20)</f>
        <v>0</v>
      </c>
      <c r="H48" s="22">
        <f>(('(4)Income &amp; Expense Input'!$E$18*'(4)Income &amp; Expense Input'!G59)*(1+'(4)Income &amp; Expense Input'!H59))*(1-'(4)Income &amp; Expense Input'!$E$20)</f>
        <v>0</v>
      </c>
      <c r="I48" s="22">
        <f>(('(4)Income &amp; Expense Input'!$E$18*'(4)Income &amp; Expense Input'!H59)*(1+'(4)Income &amp; Expense Input'!I59))*(1-'(4)Income &amp; Expense Input'!$E$20)</f>
        <v>0</v>
      </c>
      <c r="J48" s="22">
        <f>(('(4)Income &amp; Expense Input'!$E$18*'(4)Income &amp; Expense Input'!I59)*(1+'(4)Income &amp; Expense Input'!J59))*(1-'(4)Income &amp; Expense Input'!$E$20)</f>
        <v>0</v>
      </c>
      <c r="K48" s="22">
        <f>(('(4)Income &amp; Expense Input'!$E$18*'(4)Income &amp; Expense Input'!J59)*(1+'(4)Income &amp; Expense Input'!K59))*(1-'(4)Income &amp; Expense Input'!$E$20)</f>
        <v>0</v>
      </c>
      <c r="L48" s="22">
        <f>(('(4)Income &amp; Expense Input'!$E$18*'(4)Income &amp; Expense Input'!K59)*(1+'(4)Income &amp; Expense Input'!L59))*(1-'(4)Income &amp; Expense Input'!$E$20)</f>
        <v>0</v>
      </c>
      <c r="M48" s="22">
        <f>(('(4)Income &amp; Expense Input'!$E$18*'(4)Income &amp; Expense Input'!L59)*(1+'(4)Income &amp; Expense Input'!M59))*(1-'(4)Income &amp; Expense Input'!$E$20)</f>
        <v>0</v>
      </c>
      <c r="N48" s="22">
        <f>(('(4)Income &amp; Expense Input'!$E$18*'(4)Income &amp; Expense Input'!M59)*(1+'(4)Income &amp; Expense Input'!N59))*(1-'(4)Income &amp; Expense Input'!$E$20)</f>
        <v>0</v>
      </c>
      <c r="O48" s="22">
        <f>(('(4)Income &amp; Expense Input'!$E$18*'(4)Income &amp; Expense Input'!N59)*(1+'(4)Income &amp; Expense Input'!O59))*(1-'(4)Income &amp; Expense Input'!$E$20)</f>
        <v>0</v>
      </c>
      <c r="P48" s="126"/>
    </row>
    <row r="49" spans="2:16" x14ac:dyDescent="0.3">
      <c r="B49" s="125"/>
      <c r="C49" s="11">
        <v>29</v>
      </c>
      <c r="D49" s="12" t="s">
        <v>217</v>
      </c>
      <c r="E49" s="22">
        <f>('(4)Income &amp; Expense Input'!$E$18*'(4)Income &amp; Expense Input'!E60)*(1-'(4)Income &amp; Expense Input'!$E$20)</f>
        <v>0</v>
      </c>
      <c r="F49" s="22">
        <f>(('(4)Income &amp; Expense Input'!$E$18*'(4)Income &amp; Expense Input'!E60)*(1+'(4)Income &amp; Expense Input'!F60))*(1-'(4)Income &amp; Expense Input'!$E$20)</f>
        <v>0</v>
      </c>
      <c r="G49" s="22">
        <f>(('(4)Income &amp; Expense Input'!$E$18*'(4)Income &amp; Expense Input'!F60)*(1+'(4)Income &amp; Expense Input'!G60))*(1-'(4)Income &amp; Expense Input'!$E$20)</f>
        <v>0</v>
      </c>
      <c r="H49" s="22">
        <f>(('(4)Income &amp; Expense Input'!$E$18*'(4)Income &amp; Expense Input'!G60)*(1+'(4)Income &amp; Expense Input'!H60))*(1-'(4)Income &amp; Expense Input'!$E$20)</f>
        <v>0</v>
      </c>
      <c r="I49" s="22">
        <f>(('(4)Income &amp; Expense Input'!$E$18*'(4)Income &amp; Expense Input'!H60)*(1+'(4)Income &amp; Expense Input'!I60))*(1-'(4)Income &amp; Expense Input'!$E$20)</f>
        <v>0</v>
      </c>
      <c r="J49" s="22">
        <f>(('(4)Income &amp; Expense Input'!$E$18*'(4)Income &amp; Expense Input'!I60)*(1+'(4)Income &amp; Expense Input'!J60))*(1-'(4)Income &amp; Expense Input'!$E$20)</f>
        <v>0</v>
      </c>
      <c r="K49" s="22">
        <f>(('(4)Income &amp; Expense Input'!$E$18*'(4)Income &amp; Expense Input'!J60)*(1+'(4)Income &amp; Expense Input'!K60))*(1-'(4)Income &amp; Expense Input'!$E$20)</f>
        <v>0</v>
      </c>
      <c r="L49" s="22">
        <f>(('(4)Income &amp; Expense Input'!$E$18*'(4)Income &amp; Expense Input'!K60)*(1+'(4)Income &amp; Expense Input'!L60))*(1-'(4)Income &amp; Expense Input'!$E$20)</f>
        <v>0</v>
      </c>
      <c r="M49" s="22">
        <f>(('(4)Income &amp; Expense Input'!$E$18*'(4)Income &amp; Expense Input'!L60)*(1+'(4)Income &amp; Expense Input'!M60))*(1-'(4)Income &amp; Expense Input'!$E$20)</f>
        <v>0</v>
      </c>
      <c r="N49" s="22">
        <f>(('(4)Income &amp; Expense Input'!$E$18*'(4)Income &amp; Expense Input'!M60)*(1+'(4)Income &amp; Expense Input'!N60))*(1-'(4)Income &amp; Expense Input'!$E$20)</f>
        <v>0</v>
      </c>
      <c r="O49" s="22">
        <f>(('(4)Income &amp; Expense Input'!$E$18*'(4)Income &amp; Expense Input'!N60)*(1+'(4)Income &amp; Expense Input'!O60))*(1-'(4)Income &amp; Expense Input'!$E$20)</f>
        <v>0</v>
      </c>
      <c r="P49" s="126"/>
    </row>
    <row r="50" spans="2:16" x14ac:dyDescent="0.3">
      <c r="B50" s="125"/>
      <c r="C50" s="11">
        <v>30</v>
      </c>
      <c r="D50" s="12" t="s">
        <v>218</v>
      </c>
      <c r="E50" s="22">
        <f>('(4)Income &amp; Expense Input'!$E$18*'(4)Income &amp; Expense Input'!E61)*(1-'(4)Income &amp; Expense Input'!$E$20)</f>
        <v>0</v>
      </c>
      <c r="F50" s="22">
        <f>(('(4)Income &amp; Expense Input'!$E$18*'(4)Income &amp; Expense Input'!E61)*(1+'(4)Income &amp; Expense Input'!F61))*(1-'(4)Income &amp; Expense Input'!$E$20)</f>
        <v>0</v>
      </c>
      <c r="G50" s="22">
        <f>(('(4)Income &amp; Expense Input'!$E$18*'(4)Income &amp; Expense Input'!F61)*(1+'(4)Income &amp; Expense Input'!G61))*(1-'(4)Income &amp; Expense Input'!$E$20)</f>
        <v>0</v>
      </c>
      <c r="H50" s="22">
        <f>(('(4)Income &amp; Expense Input'!$E$18*'(4)Income &amp; Expense Input'!G61)*(1+'(4)Income &amp; Expense Input'!H61))*(1-'(4)Income &amp; Expense Input'!$E$20)</f>
        <v>0</v>
      </c>
      <c r="I50" s="22">
        <f>(('(4)Income &amp; Expense Input'!$E$18*'(4)Income &amp; Expense Input'!H61)*(1+'(4)Income &amp; Expense Input'!I61))*(1-'(4)Income &amp; Expense Input'!$E$20)</f>
        <v>0</v>
      </c>
      <c r="J50" s="22">
        <f>(('(4)Income &amp; Expense Input'!$E$18*'(4)Income &amp; Expense Input'!I61)*(1+'(4)Income &amp; Expense Input'!J61))*(1-'(4)Income &amp; Expense Input'!$E$20)</f>
        <v>0</v>
      </c>
      <c r="K50" s="22">
        <f>(('(4)Income &amp; Expense Input'!$E$18*'(4)Income &amp; Expense Input'!J61)*(1+'(4)Income &amp; Expense Input'!K61))*(1-'(4)Income &amp; Expense Input'!$E$20)</f>
        <v>0</v>
      </c>
      <c r="L50" s="22">
        <f>(('(4)Income &amp; Expense Input'!$E$18*'(4)Income &amp; Expense Input'!K61)*(1+'(4)Income &amp; Expense Input'!L61))*(1-'(4)Income &amp; Expense Input'!$E$20)</f>
        <v>0</v>
      </c>
      <c r="M50" s="22">
        <f>(('(4)Income &amp; Expense Input'!$E$18*'(4)Income &amp; Expense Input'!L61)*(1+'(4)Income &amp; Expense Input'!M61))*(1-'(4)Income &amp; Expense Input'!$E$20)</f>
        <v>0</v>
      </c>
      <c r="N50" s="22">
        <f>(('(4)Income &amp; Expense Input'!$E$18*'(4)Income &amp; Expense Input'!M61)*(1+'(4)Income &amp; Expense Input'!N61))*(1-'(4)Income &amp; Expense Input'!$E$20)</f>
        <v>0</v>
      </c>
      <c r="O50" s="22">
        <f>(('(4)Income &amp; Expense Input'!$E$18*'(4)Income &amp; Expense Input'!N61)*(1+'(4)Income &amp; Expense Input'!O61))*(1-'(4)Income &amp; Expense Input'!$E$20)</f>
        <v>0</v>
      </c>
      <c r="P50" s="126"/>
    </row>
    <row r="51" spans="2:16" x14ac:dyDescent="0.3">
      <c r="B51" s="125"/>
      <c r="C51" s="11">
        <v>31</v>
      </c>
      <c r="D51" s="12" t="s">
        <v>219</v>
      </c>
      <c r="E51" s="22">
        <f>((E14-E18+SUM(E45:E50))/(1-'(4)Income &amp; Expense Input'!E62))-(E14-E18+SUM(E45:E50))</f>
        <v>0</v>
      </c>
      <c r="F51" s="22">
        <f>((F14-F18+SUM(F45:F50))/(1-'(4)Income &amp; Expense Input'!F62))-(F14-F18+SUM(F45:F50))</f>
        <v>0</v>
      </c>
      <c r="G51" s="22">
        <f>((G14-G18+SUM(G45:G50))/(1-'(4)Income &amp; Expense Input'!G62))-(G14-G18+SUM(G45:G50))</f>
        <v>0</v>
      </c>
      <c r="H51" s="22">
        <f>((H14-H18+SUM(H45:H50))/(1-'(4)Income &amp; Expense Input'!H62))-(H14-H18+SUM(H45:H50))</f>
        <v>0</v>
      </c>
      <c r="I51" s="22">
        <f>((I14-I18+SUM(I45:I50))/(1-'(4)Income &amp; Expense Input'!I62))-(I14-I18+SUM(I45:I50))</f>
        <v>0</v>
      </c>
      <c r="J51" s="22">
        <f>((J14-J18+SUM(J45:J50))/(1-'(4)Income &amp; Expense Input'!J62))-(J14-J18+SUM(J45:J50))</f>
        <v>0</v>
      </c>
      <c r="K51" s="22">
        <f>((K14-K18+SUM(K45:K50))/(1-'(4)Income &amp; Expense Input'!K62))-(K14-K18+SUM(K45:K50))</f>
        <v>0</v>
      </c>
      <c r="L51" s="22">
        <f>((L14-L18+SUM(L45:L50))/(1-'(4)Income &amp; Expense Input'!L62))-(L14-L18+SUM(L45:L50))</f>
        <v>0</v>
      </c>
      <c r="M51" s="22">
        <f>((M14-M18+SUM(M45:M50))/(1-'(4)Income &amp; Expense Input'!M62))-(M14-M18+SUM(M45:M50))</f>
        <v>0</v>
      </c>
      <c r="N51" s="22">
        <f>((N14-N18+SUM(N45:N50))/(1-'(4)Income &amp; Expense Input'!N62))-(N14-N18+SUM(N45:N50))</f>
        <v>0</v>
      </c>
      <c r="O51" s="22">
        <f>((O14-O18+SUM(O45:O50))/(1-'(4)Income &amp; Expense Input'!O62))-(O14-O18+SUM(O45:O50))</f>
        <v>0</v>
      </c>
      <c r="P51" s="126"/>
    </row>
    <row r="52" spans="2:16" x14ac:dyDescent="0.3">
      <c r="B52" s="125"/>
      <c r="C52" s="30">
        <v>32</v>
      </c>
      <c r="D52" s="26" t="s">
        <v>180</v>
      </c>
      <c r="E52" s="28">
        <f>E19+SUM(E25:E31)+SUM(E35:E41)+SUM(E45:E51)</f>
        <v>3980680</v>
      </c>
      <c r="F52" s="28">
        <f t="shared" ref="F52" si="5">F19+SUM(F25:F31)+SUM(F35:F41)+SUM(F45:F51)</f>
        <v>4080197</v>
      </c>
      <c r="G52" s="28">
        <f t="shared" ref="G52:O52" si="6">G19+SUM(G25:G31)+SUM(G35:G41)+SUM(G45:G51)</f>
        <v>4182201.9249999998</v>
      </c>
      <c r="H52" s="28">
        <f t="shared" si="6"/>
        <v>4286756.9731249996</v>
      </c>
      <c r="I52" s="28">
        <f t="shared" si="6"/>
        <v>4393925.8974531246</v>
      </c>
      <c r="J52" s="28">
        <f t="shared" si="6"/>
        <v>4503774.0448894529</v>
      </c>
      <c r="K52" s="28">
        <f t="shared" si="6"/>
        <v>4616368.3960116878</v>
      </c>
      <c r="L52" s="28">
        <f t="shared" si="6"/>
        <v>4731777.6059119795</v>
      </c>
      <c r="M52" s="28">
        <f t="shared" si="6"/>
        <v>4850072.0460597789</v>
      </c>
      <c r="N52" s="28">
        <f t="shared" si="6"/>
        <v>4971323.8472112734</v>
      </c>
      <c r="O52" s="28">
        <f t="shared" si="6"/>
        <v>5095606.943391555</v>
      </c>
      <c r="P52" s="126"/>
    </row>
    <row r="53" spans="2:16" x14ac:dyDescent="0.3">
      <c r="B53" s="125"/>
      <c r="C53" s="133"/>
      <c r="D53" s="152"/>
      <c r="E53" s="154"/>
      <c r="F53" s="154"/>
      <c r="G53" s="154"/>
      <c r="H53" s="154"/>
      <c r="I53" s="154"/>
      <c r="J53" s="154"/>
      <c r="K53" s="154"/>
      <c r="L53" s="154"/>
      <c r="M53" s="154"/>
      <c r="N53" s="154"/>
      <c r="O53" s="154"/>
      <c r="P53" s="126"/>
    </row>
    <row r="54" spans="2:16" x14ac:dyDescent="0.3">
      <c r="B54" s="125"/>
      <c r="C54" s="204" t="s">
        <v>182</v>
      </c>
      <c r="D54" s="205"/>
      <c r="E54" s="205"/>
      <c r="F54" s="205"/>
      <c r="G54" s="205"/>
      <c r="H54" s="205"/>
      <c r="I54" s="205"/>
      <c r="J54" s="205"/>
      <c r="K54" s="205"/>
      <c r="L54" s="205"/>
      <c r="M54" s="205"/>
      <c r="N54" s="205"/>
      <c r="O54" s="206"/>
      <c r="P54" s="126"/>
    </row>
    <row r="55" spans="2:16" x14ac:dyDescent="0.3">
      <c r="B55" s="125"/>
      <c r="C55" s="15" t="s">
        <v>75</v>
      </c>
      <c r="D55" s="13"/>
      <c r="E55" s="14">
        <v>1</v>
      </c>
      <c r="F55" s="14">
        <v>2</v>
      </c>
      <c r="G55" s="14">
        <v>3</v>
      </c>
      <c r="H55" s="14">
        <v>4</v>
      </c>
      <c r="I55" s="14">
        <v>5</v>
      </c>
      <c r="J55" s="14">
        <v>6</v>
      </c>
      <c r="K55" s="14">
        <v>7</v>
      </c>
      <c r="L55" s="14">
        <v>8</v>
      </c>
      <c r="M55" s="14">
        <v>9</v>
      </c>
      <c r="N55" s="14">
        <v>10</v>
      </c>
      <c r="O55" s="14">
        <v>11</v>
      </c>
      <c r="P55" s="126"/>
    </row>
    <row r="56" spans="2:16" x14ac:dyDescent="0.3">
      <c r="B56" s="125"/>
      <c r="C56" s="7">
        <v>33</v>
      </c>
      <c r="D56" s="8" t="s">
        <v>213</v>
      </c>
      <c r="E56" s="21">
        <f>('(4)Income &amp; Expense Input'!$E$12+'(4)Income &amp; Expense Input'!$E$15+'(4)Income &amp; Expense Input'!$E$18)*'(4)Income &amp; Expense Input'!E24</f>
        <v>0</v>
      </c>
      <c r="F56" s="21">
        <f>E56*(1+'(4)Income &amp; Expense Input'!F24)</f>
        <v>0</v>
      </c>
      <c r="G56" s="21">
        <f>F56*(1+'(4)Income &amp; Expense Input'!G24)</f>
        <v>0</v>
      </c>
      <c r="H56" s="21">
        <f>G56*(1+'(4)Income &amp; Expense Input'!H24)</f>
        <v>0</v>
      </c>
      <c r="I56" s="21">
        <f>H56*(1+'(4)Income &amp; Expense Input'!I24)</f>
        <v>0</v>
      </c>
      <c r="J56" s="21">
        <f>I56*(1+'(4)Income &amp; Expense Input'!J24)</f>
        <v>0</v>
      </c>
      <c r="K56" s="21">
        <f>J56*(1+'(4)Income &amp; Expense Input'!K24)</f>
        <v>0</v>
      </c>
      <c r="L56" s="21">
        <f>K56*(1+'(4)Income &amp; Expense Input'!L24)</f>
        <v>0</v>
      </c>
      <c r="M56" s="21">
        <f>L56*(1+'(4)Income &amp; Expense Input'!M24)</f>
        <v>0</v>
      </c>
      <c r="N56" s="21">
        <f>M56*(1+'(4)Income &amp; Expense Input'!N24)</f>
        <v>0</v>
      </c>
      <c r="O56" s="21">
        <f>N56*(1+'(4)Income &amp; Expense Input'!O24)</f>
        <v>0</v>
      </c>
      <c r="P56" s="126"/>
    </row>
    <row r="57" spans="2:16" x14ac:dyDescent="0.3">
      <c r="B57" s="125"/>
      <c r="C57" s="11">
        <v>34</v>
      </c>
      <c r="D57" s="12" t="s">
        <v>214</v>
      </c>
      <c r="E57" s="22">
        <f>('(4)Income &amp; Expense Input'!$E$12+'(4)Income &amp; Expense Input'!$E$15+'(4)Income &amp; Expense Input'!$E$18)*'(4)Income &amp; Expense Input'!E25</f>
        <v>0</v>
      </c>
      <c r="F57" s="22">
        <f>E57*(1+'(4)Income &amp; Expense Input'!F25)</f>
        <v>0</v>
      </c>
      <c r="G57" s="22">
        <f>F57*(1+'(4)Income &amp; Expense Input'!G25)</f>
        <v>0</v>
      </c>
      <c r="H57" s="22">
        <f>G57*(1+'(4)Income &amp; Expense Input'!H25)</f>
        <v>0</v>
      </c>
      <c r="I57" s="22">
        <f>H57*(1+'(4)Income &amp; Expense Input'!I25)</f>
        <v>0</v>
      </c>
      <c r="J57" s="22">
        <f>I57*(1+'(4)Income &amp; Expense Input'!J25)</f>
        <v>0</v>
      </c>
      <c r="K57" s="22">
        <f>J57*(1+'(4)Income &amp; Expense Input'!K25)</f>
        <v>0</v>
      </c>
      <c r="L57" s="22">
        <f>K57*(1+'(4)Income &amp; Expense Input'!L25)</f>
        <v>0</v>
      </c>
      <c r="M57" s="22">
        <f>L57*(1+'(4)Income &amp; Expense Input'!M25)</f>
        <v>0</v>
      </c>
      <c r="N57" s="22">
        <f>M57*(1+'(4)Income &amp; Expense Input'!N25)</f>
        <v>0</v>
      </c>
      <c r="O57" s="22">
        <f>N57*(1+'(4)Income &amp; Expense Input'!O25)</f>
        <v>0</v>
      </c>
      <c r="P57" s="126"/>
    </row>
    <row r="58" spans="2:16" x14ac:dyDescent="0.3">
      <c r="B58" s="125"/>
      <c r="C58" s="11">
        <v>35</v>
      </c>
      <c r="D58" s="12" t="s">
        <v>215</v>
      </c>
      <c r="E58" s="22">
        <f>('(4)Income &amp; Expense Input'!$E$12+'(4)Income &amp; Expense Input'!$E$15+'(4)Income &amp; Expense Input'!$E$18)*'(4)Income &amp; Expense Input'!E26</f>
        <v>0</v>
      </c>
      <c r="F58" s="22">
        <f>E58*(1+'(4)Income &amp; Expense Input'!F26)</f>
        <v>0</v>
      </c>
      <c r="G58" s="22">
        <f>F58*(1+'(4)Income &amp; Expense Input'!G26)</f>
        <v>0</v>
      </c>
      <c r="H58" s="22">
        <f>G58*(1+'(4)Income &amp; Expense Input'!H26)</f>
        <v>0</v>
      </c>
      <c r="I58" s="22">
        <f>H58*(1+'(4)Income &amp; Expense Input'!I26)</f>
        <v>0</v>
      </c>
      <c r="J58" s="22">
        <f>I58*(1+'(4)Income &amp; Expense Input'!J26)</f>
        <v>0</v>
      </c>
      <c r="K58" s="22">
        <f>J58*(1+'(4)Income &amp; Expense Input'!K26)</f>
        <v>0</v>
      </c>
      <c r="L58" s="22">
        <f>K58*(1+'(4)Income &amp; Expense Input'!L26)</f>
        <v>0</v>
      </c>
      <c r="M58" s="22">
        <f>L58*(1+'(4)Income &amp; Expense Input'!M26)</f>
        <v>0</v>
      </c>
      <c r="N58" s="22">
        <f>M58*(1+'(4)Income &amp; Expense Input'!N26)</f>
        <v>0</v>
      </c>
      <c r="O58" s="22">
        <f>N58*(1+'(4)Income &amp; Expense Input'!O26)</f>
        <v>0</v>
      </c>
      <c r="P58" s="126"/>
    </row>
    <row r="59" spans="2:16" x14ac:dyDescent="0.3">
      <c r="B59" s="125"/>
      <c r="C59" s="11">
        <v>36</v>
      </c>
      <c r="D59" s="12" t="s">
        <v>216</v>
      </c>
      <c r="E59" s="22">
        <f>('(4)Income &amp; Expense Input'!$E$12+'(4)Income &amp; Expense Input'!$E$15+'(4)Income &amp; Expense Input'!$E$18)*'(4)Income &amp; Expense Input'!E27</f>
        <v>0</v>
      </c>
      <c r="F59" s="22">
        <f>E59*(1+'(4)Income &amp; Expense Input'!F27)</f>
        <v>0</v>
      </c>
      <c r="G59" s="22">
        <f>F59*(1+'(4)Income &amp; Expense Input'!G27)</f>
        <v>0</v>
      </c>
      <c r="H59" s="22">
        <f>G59*(1+'(4)Income &amp; Expense Input'!H27)</f>
        <v>0</v>
      </c>
      <c r="I59" s="22">
        <f>H59*(1+'(4)Income &amp; Expense Input'!I27)</f>
        <v>0</v>
      </c>
      <c r="J59" s="22">
        <f>I59*(1+'(4)Income &amp; Expense Input'!J27)</f>
        <v>0</v>
      </c>
      <c r="K59" s="22">
        <f>J59*(1+'(4)Income &amp; Expense Input'!K27)</f>
        <v>0</v>
      </c>
      <c r="L59" s="22">
        <f>K59*(1+'(4)Income &amp; Expense Input'!L27)</f>
        <v>0</v>
      </c>
      <c r="M59" s="22">
        <f>L59*(1+'(4)Income &amp; Expense Input'!M27)</f>
        <v>0</v>
      </c>
      <c r="N59" s="22">
        <f>M59*(1+'(4)Income &amp; Expense Input'!N27)</f>
        <v>0</v>
      </c>
      <c r="O59" s="22">
        <f>N59*(1+'(4)Income &amp; Expense Input'!O27)</f>
        <v>0</v>
      </c>
      <c r="P59" s="126"/>
    </row>
    <row r="60" spans="2:16" x14ac:dyDescent="0.3">
      <c r="B60" s="125"/>
      <c r="C60" s="11">
        <v>37</v>
      </c>
      <c r="D60" s="12" t="s">
        <v>217</v>
      </c>
      <c r="E60" s="22">
        <f>('(4)Income &amp; Expense Input'!$E$12+'(4)Income &amp; Expense Input'!$E$15+'(4)Income &amp; Expense Input'!$E$18)*'(4)Income &amp; Expense Input'!E28</f>
        <v>0</v>
      </c>
      <c r="F60" s="22">
        <f>E60*(1+'(4)Income &amp; Expense Input'!F28)</f>
        <v>0</v>
      </c>
      <c r="G60" s="22">
        <f>F60*(1+'(4)Income &amp; Expense Input'!G28)</f>
        <v>0</v>
      </c>
      <c r="H60" s="22">
        <f>G60*(1+'(4)Income &amp; Expense Input'!H28)</f>
        <v>0</v>
      </c>
      <c r="I60" s="22">
        <f>H60*(1+'(4)Income &amp; Expense Input'!I28)</f>
        <v>0</v>
      </c>
      <c r="J60" s="22">
        <f>I60*(1+'(4)Income &amp; Expense Input'!J28)</f>
        <v>0</v>
      </c>
      <c r="K60" s="22">
        <f>J60*(1+'(4)Income &amp; Expense Input'!K28)</f>
        <v>0</v>
      </c>
      <c r="L60" s="22">
        <f>K60*(1+'(4)Income &amp; Expense Input'!L28)</f>
        <v>0</v>
      </c>
      <c r="M60" s="22">
        <f>L60*(1+'(4)Income &amp; Expense Input'!M28)</f>
        <v>0</v>
      </c>
      <c r="N60" s="22">
        <f>M60*(1+'(4)Income &amp; Expense Input'!N28)</f>
        <v>0</v>
      </c>
      <c r="O60" s="22">
        <f>N60*(1+'(4)Income &amp; Expense Input'!O28)</f>
        <v>0</v>
      </c>
      <c r="P60" s="126"/>
    </row>
    <row r="61" spans="2:16" x14ac:dyDescent="0.3">
      <c r="B61" s="125"/>
      <c r="C61" s="11">
        <v>38</v>
      </c>
      <c r="D61" s="12" t="s">
        <v>218</v>
      </c>
      <c r="E61" s="22">
        <f>('(4)Income &amp; Expense Input'!$E$12+'(4)Income &amp; Expense Input'!$E$15+'(4)Income &amp; Expense Input'!$E$18)*'(4)Income &amp; Expense Input'!E29</f>
        <v>0</v>
      </c>
      <c r="F61" s="22">
        <f>E61*(1+'(4)Income &amp; Expense Input'!F29)</f>
        <v>0</v>
      </c>
      <c r="G61" s="22">
        <f>F61*(1+'(4)Income &amp; Expense Input'!G29)</f>
        <v>0</v>
      </c>
      <c r="H61" s="22">
        <f>G61*(1+'(4)Income &amp; Expense Input'!H29)</f>
        <v>0</v>
      </c>
      <c r="I61" s="22">
        <f>H61*(1+'(4)Income &amp; Expense Input'!I29)</f>
        <v>0</v>
      </c>
      <c r="J61" s="22">
        <f>I61*(1+'(4)Income &amp; Expense Input'!J29)</f>
        <v>0</v>
      </c>
      <c r="K61" s="22">
        <f>J61*(1+'(4)Income &amp; Expense Input'!K29)</f>
        <v>0</v>
      </c>
      <c r="L61" s="22">
        <f>K61*(1+'(4)Income &amp; Expense Input'!L29)</f>
        <v>0</v>
      </c>
      <c r="M61" s="22">
        <f>L61*(1+'(4)Income &amp; Expense Input'!M29)</f>
        <v>0</v>
      </c>
      <c r="N61" s="22">
        <f>M61*(1+'(4)Income &amp; Expense Input'!N29)</f>
        <v>0</v>
      </c>
      <c r="O61" s="22">
        <f>N61*(1+'(4)Income &amp; Expense Input'!O29)</f>
        <v>0</v>
      </c>
      <c r="P61" s="126"/>
    </row>
    <row r="62" spans="2:16" x14ac:dyDescent="0.3">
      <c r="B62" s="125"/>
      <c r="C62" s="11">
        <v>39</v>
      </c>
      <c r="D62" s="12" t="s">
        <v>219</v>
      </c>
      <c r="E62" s="22">
        <f>'(4)Income &amp; Expense Input'!E30*'(9)Annual Cash Flow Projection'!E52</f>
        <v>0</v>
      </c>
      <c r="F62" s="22">
        <f>'(4)Income &amp; Expense Input'!F30*'(9)Annual Cash Flow Projection'!F52</f>
        <v>0</v>
      </c>
      <c r="G62" s="22">
        <f>'(4)Income &amp; Expense Input'!G30*'(9)Annual Cash Flow Projection'!G52</f>
        <v>0</v>
      </c>
      <c r="H62" s="22">
        <f>'(4)Income &amp; Expense Input'!H30*'(9)Annual Cash Flow Projection'!H52</f>
        <v>0</v>
      </c>
      <c r="I62" s="22">
        <f>'(4)Income &amp; Expense Input'!I30*'(9)Annual Cash Flow Projection'!I52</f>
        <v>0</v>
      </c>
      <c r="J62" s="22">
        <f>'(4)Income &amp; Expense Input'!J30*'(9)Annual Cash Flow Projection'!J52</f>
        <v>0</v>
      </c>
      <c r="K62" s="22">
        <f>'(4)Income &amp; Expense Input'!K30*'(9)Annual Cash Flow Projection'!K52</f>
        <v>0</v>
      </c>
      <c r="L62" s="22">
        <f>'(4)Income &amp; Expense Input'!L30*'(9)Annual Cash Flow Projection'!L52</f>
        <v>0</v>
      </c>
      <c r="M62" s="22">
        <f>'(4)Income &amp; Expense Input'!M30*'(9)Annual Cash Flow Projection'!M52</f>
        <v>0</v>
      </c>
      <c r="N62" s="22">
        <f>'(4)Income &amp; Expense Input'!N30*'(9)Annual Cash Flow Projection'!N52</f>
        <v>0</v>
      </c>
      <c r="O62" s="22">
        <f>'(4)Income &amp; Expense Input'!O30*'(9)Annual Cash Flow Projection'!O52</f>
        <v>0</v>
      </c>
      <c r="P62" s="126"/>
    </row>
    <row r="63" spans="2:16" x14ac:dyDescent="0.3">
      <c r="B63" s="125"/>
      <c r="C63" s="29">
        <v>40</v>
      </c>
      <c r="D63" s="24" t="s">
        <v>184</v>
      </c>
      <c r="E63" s="25">
        <f>E52-SUM(E56:E62)</f>
        <v>3980680</v>
      </c>
      <c r="F63" s="25">
        <f t="shared" ref="F63" si="7">F52-SUM(F56:F62)</f>
        <v>4080197</v>
      </c>
      <c r="G63" s="25">
        <f t="shared" ref="G63:O63" si="8">G52-SUM(G56:G62)</f>
        <v>4182201.9249999998</v>
      </c>
      <c r="H63" s="25">
        <f t="shared" si="8"/>
        <v>4286756.9731249996</v>
      </c>
      <c r="I63" s="25">
        <f t="shared" si="8"/>
        <v>4393925.8974531246</v>
      </c>
      <c r="J63" s="25">
        <f t="shared" si="8"/>
        <v>4503774.0448894529</v>
      </c>
      <c r="K63" s="25">
        <f t="shared" si="8"/>
        <v>4616368.3960116878</v>
      </c>
      <c r="L63" s="25">
        <f t="shared" si="8"/>
        <v>4731777.6059119795</v>
      </c>
      <c r="M63" s="25">
        <f t="shared" si="8"/>
        <v>4850072.0460597789</v>
      </c>
      <c r="N63" s="25">
        <f t="shared" si="8"/>
        <v>4971323.8472112734</v>
      </c>
      <c r="O63" s="25">
        <f t="shared" si="8"/>
        <v>5095606.943391555</v>
      </c>
      <c r="P63" s="126"/>
    </row>
    <row r="64" spans="2:16" x14ac:dyDescent="0.3">
      <c r="B64" s="125"/>
      <c r="C64" s="11">
        <v>41</v>
      </c>
      <c r="D64" s="12" t="s">
        <v>222</v>
      </c>
      <c r="E64" s="22">
        <f>IF('(2)Dev.-Inv. &amp; Lender Input'!$E$29=0,0,(PMT('(2)Dev.-Inv. &amp; Lender Input'!$E$27/'(2)Dev.-Inv. &amp; Lender Input'!$E$29,'(2)Dev.-Inv. &amp; Lender Input'!$E$28*'(2)Dev.-Inv. &amp; Lender Input'!$E$29,-'(5)Project Summary'!$E$43,0,0))*'(2)Dev.-Inv. &amp; Lender Input'!$E$29)</f>
        <v>2564246.583074545</v>
      </c>
      <c r="F64" s="22">
        <f>IF('(2)Dev.-Inv. &amp; Lender Input'!$E$29=0,0,(PMT('(2)Dev.-Inv. &amp; Lender Input'!$E$27/'(2)Dev.-Inv. &amp; Lender Input'!$E$29,'(2)Dev.-Inv. &amp; Lender Input'!$E$28*'(2)Dev.-Inv. &amp; Lender Input'!$E$29,-'(5)Project Summary'!$E$43,0,0))*'(2)Dev.-Inv. &amp; Lender Input'!$E$29)</f>
        <v>2564246.583074545</v>
      </c>
      <c r="G64" s="22">
        <f>IF('(2)Dev.-Inv. &amp; Lender Input'!$E$29=0,0,(PMT('(2)Dev.-Inv. &amp; Lender Input'!$E$27/'(2)Dev.-Inv. &amp; Lender Input'!$E$29,'(2)Dev.-Inv. &amp; Lender Input'!$E$28*'(2)Dev.-Inv. &amp; Lender Input'!$E$29,-'(5)Project Summary'!$E$43,0,0))*'(2)Dev.-Inv. &amp; Lender Input'!$E$29)</f>
        <v>2564246.583074545</v>
      </c>
      <c r="H64" s="22">
        <f>IF('(2)Dev.-Inv. &amp; Lender Input'!$E$29=0,0,(PMT('(2)Dev.-Inv. &amp; Lender Input'!$E$27/'(2)Dev.-Inv. &amp; Lender Input'!$E$29,'(2)Dev.-Inv. &amp; Lender Input'!$E$28*'(2)Dev.-Inv. &amp; Lender Input'!$E$29,-'(5)Project Summary'!$E$43,0,0))*'(2)Dev.-Inv. &amp; Lender Input'!$E$29)</f>
        <v>2564246.583074545</v>
      </c>
      <c r="I64" s="22">
        <f>IF('(2)Dev.-Inv. &amp; Lender Input'!$E$29=0,0,(PMT('(2)Dev.-Inv. &amp; Lender Input'!$E$27/'(2)Dev.-Inv. &amp; Lender Input'!$E$29,'(2)Dev.-Inv. &amp; Lender Input'!$E$28*'(2)Dev.-Inv. &amp; Lender Input'!$E$29,-'(5)Project Summary'!$E$43,0,0))*'(2)Dev.-Inv. &amp; Lender Input'!$E$29)</f>
        <v>2564246.583074545</v>
      </c>
      <c r="J64" s="22">
        <f>IF('(2)Dev.-Inv. &amp; Lender Input'!$E$29=0,0,(PMT('(2)Dev.-Inv. &amp; Lender Input'!$E$27/'(2)Dev.-Inv. &amp; Lender Input'!$E$29,'(2)Dev.-Inv. &amp; Lender Input'!$E$28*'(2)Dev.-Inv. &amp; Lender Input'!$E$29,-'(5)Project Summary'!$E$43,0,0))*'(2)Dev.-Inv. &amp; Lender Input'!$E$29)</f>
        <v>2564246.583074545</v>
      </c>
      <c r="K64" s="22">
        <f>IF('(2)Dev.-Inv. &amp; Lender Input'!$E$29=0,0,(PMT('(2)Dev.-Inv. &amp; Lender Input'!$E$27/'(2)Dev.-Inv. &amp; Lender Input'!$E$29,'(2)Dev.-Inv. &amp; Lender Input'!$E$28*'(2)Dev.-Inv. &amp; Lender Input'!$E$29,-'(5)Project Summary'!$E$43,0,0))*'(2)Dev.-Inv. &amp; Lender Input'!$E$29)</f>
        <v>2564246.583074545</v>
      </c>
      <c r="L64" s="22">
        <f>IF('(2)Dev.-Inv. &amp; Lender Input'!$E$29=0,0,(PMT('(2)Dev.-Inv. &amp; Lender Input'!$E$27/'(2)Dev.-Inv. &amp; Lender Input'!$E$29,'(2)Dev.-Inv. &amp; Lender Input'!$E$28*'(2)Dev.-Inv. &amp; Lender Input'!$E$29,-'(5)Project Summary'!$E$43,0,0))*'(2)Dev.-Inv. &amp; Lender Input'!$E$29)</f>
        <v>2564246.583074545</v>
      </c>
      <c r="M64" s="22">
        <f>IF('(2)Dev.-Inv. &amp; Lender Input'!$E$29=0,0,(PMT('(2)Dev.-Inv. &amp; Lender Input'!$E$27/'(2)Dev.-Inv. &amp; Lender Input'!$E$29,'(2)Dev.-Inv. &amp; Lender Input'!$E$28*'(2)Dev.-Inv. &amp; Lender Input'!$E$29,-'(5)Project Summary'!$E$43,0,0))*'(2)Dev.-Inv. &amp; Lender Input'!$E$29)</f>
        <v>2564246.583074545</v>
      </c>
      <c r="N64" s="22">
        <f>IF('(2)Dev.-Inv. &amp; Lender Input'!$E$29=0,0,(PMT('(2)Dev.-Inv. &amp; Lender Input'!$E$27/'(2)Dev.-Inv. &amp; Lender Input'!$E$29,'(2)Dev.-Inv. &amp; Lender Input'!$E$28*'(2)Dev.-Inv. &amp; Lender Input'!$E$29,-'(5)Project Summary'!$E$43,0,0))*'(2)Dev.-Inv. &amp; Lender Input'!$E$29)</f>
        <v>2564246.583074545</v>
      </c>
      <c r="O64" s="22"/>
      <c r="P64" s="126"/>
    </row>
    <row r="65" spans="2:16" x14ac:dyDescent="0.3">
      <c r="B65" s="125"/>
      <c r="C65" s="30">
        <v>42</v>
      </c>
      <c r="D65" s="26" t="s">
        <v>223</v>
      </c>
      <c r="E65" s="28">
        <f>E63-E64</f>
        <v>1416433.416925455</v>
      </c>
      <c r="F65" s="28">
        <f t="shared" ref="F65" si="9">F63-F64</f>
        <v>1515950.416925455</v>
      </c>
      <c r="G65" s="28">
        <f t="shared" ref="G65:N65" si="10">G63-G64</f>
        <v>1617955.3419254548</v>
      </c>
      <c r="H65" s="28">
        <f t="shared" si="10"/>
        <v>1722510.3900504545</v>
      </c>
      <c r="I65" s="28">
        <f t="shared" si="10"/>
        <v>1829679.3143785796</v>
      </c>
      <c r="J65" s="28">
        <f t="shared" si="10"/>
        <v>1939527.4618149078</v>
      </c>
      <c r="K65" s="28">
        <f t="shared" si="10"/>
        <v>2052121.8129371428</v>
      </c>
      <c r="L65" s="28">
        <f t="shared" si="10"/>
        <v>2167531.0228374344</v>
      </c>
      <c r="M65" s="28">
        <f t="shared" si="10"/>
        <v>2285825.4629852339</v>
      </c>
      <c r="N65" s="28">
        <f t="shared" si="10"/>
        <v>2407077.2641367284</v>
      </c>
      <c r="O65" s="23"/>
      <c r="P65" s="126"/>
    </row>
    <row r="66" spans="2:16" x14ac:dyDescent="0.3">
      <c r="B66" s="125"/>
      <c r="P66" s="126"/>
    </row>
    <row r="67" spans="2:16" x14ac:dyDescent="0.3">
      <c r="B67" s="125"/>
      <c r="P67" s="126"/>
    </row>
    <row r="68" spans="2:16" x14ac:dyDescent="0.3">
      <c r="B68" s="125"/>
      <c r="C68" s="1" t="str">
        <f>VERSION</f>
        <v>Version 9.0</v>
      </c>
      <c r="O68" s="135">
        <f>'(8)Rent Constant Feasibility'!K71+1</f>
        <v>9</v>
      </c>
      <c r="P68" s="126"/>
    </row>
    <row r="69" spans="2:16" ht="14.5" thickBot="1" x14ac:dyDescent="0.35">
      <c r="B69" s="147"/>
      <c r="C69" s="148"/>
      <c r="D69" s="131"/>
      <c r="E69" s="131"/>
      <c r="F69" s="131"/>
      <c r="G69" s="131"/>
      <c r="H69" s="131"/>
      <c r="I69" s="131"/>
      <c r="J69" s="131"/>
      <c r="K69" s="131"/>
      <c r="L69" s="131"/>
      <c r="M69" s="131"/>
      <c r="N69" s="131"/>
      <c r="O69" s="131"/>
      <c r="P69" s="132"/>
    </row>
    <row r="70" spans="2:16" ht="14.5" thickTop="1" x14ac:dyDescent="0.3"/>
  </sheetData>
  <sheetProtection sheet="1" objects="1" scenarios="1" selectLockedCells="1"/>
  <mergeCells count="7">
    <mergeCell ref="C43:O43"/>
    <mergeCell ref="C54:O54"/>
    <mergeCell ref="C7:G9"/>
    <mergeCell ref="J3:O5"/>
    <mergeCell ref="C10:O10"/>
    <mergeCell ref="C23:O23"/>
    <mergeCell ref="C33:O33"/>
  </mergeCells>
  <printOptions horizontalCentered="1" verticalCentered="1"/>
  <pageMargins left="0" right="0" top="0" bottom="0" header="0" footer="0"/>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7F0E-B1BD-40E0-9E3F-7D9F1C4A2A3E}">
  <sheetPr>
    <tabColor theme="7" tint="0.59999389629810485"/>
  </sheetPr>
  <dimension ref="B1:P89"/>
  <sheetViews>
    <sheetView showGridLines="0" showRowColHeaders="0" topLeftCell="A8" zoomScaleNormal="100" zoomScaleSheetLayoutView="100" workbookViewId="0">
      <selection activeCell="F28" sqref="F27:F28"/>
    </sheetView>
  </sheetViews>
  <sheetFormatPr defaultColWidth="9.1796875" defaultRowHeight="14" x14ac:dyDescent="0.3"/>
  <cols>
    <col min="1" max="2" width="4" style="1" customWidth="1"/>
    <col min="3" max="3" width="4" style="6" customWidth="1"/>
    <col min="4" max="4" width="40.453125" style="1" bestFit="1" customWidth="1"/>
    <col min="5" max="14" width="15.6328125" style="1" customWidth="1"/>
    <col min="15" max="15" width="4" style="1" customWidth="1"/>
    <col min="16" max="16" width="9.36328125" style="1" bestFit="1" customWidth="1"/>
    <col min="17" max="16384" width="9.1796875" style="1"/>
  </cols>
  <sheetData>
    <row r="1" spans="2:15" ht="14.5" thickBot="1" x14ac:dyDescent="0.35"/>
    <row r="2" spans="2:15" ht="15" customHeight="1" thickTop="1" x14ac:dyDescent="0.35">
      <c r="B2" s="110"/>
      <c r="C2" s="111"/>
      <c r="D2" s="111"/>
      <c r="E2" s="111"/>
      <c r="F2" s="111"/>
      <c r="G2" s="111"/>
      <c r="H2" s="111"/>
      <c r="I2" s="111"/>
      <c r="J2" s="111"/>
      <c r="K2" s="111"/>
      <c r="L2" s="111"/>
      <c r="M2" s="111"/>
      <c r="N2" s="111"/>
      <c r="O2" s="112"/>
    </row>
    <row r="3" spans="2:15" ht="15" customHeight="1" x14ac:dyDescent="0.7">
      <c r="B3" s="113"/>
      <c r="C3" s="114"/>
      <c r="D3" s="114"/>
      <c r="E3" s="114"/>
      <c r="F3" s="114"/>
      <c r="G3" s="114"/>
      <c r="H3" s="114"/>
      <c r="I3" s="217" t="s">
        <v>294</v>
      </c>
      <c r="J3" s="217"/>
      <c r="K3" s="217"/>
      <c r="L3" s="217"/>
      <c r="M3" s="217"/>
      <c r="N3" s="217"/>
      <c r="O3" s="115"/>
    </row>
    <row r="4" spans="2:15" ht="15" customHeight="1" x14ac:dyDescent="0.7">
      <c r="B4" s="113"/>
      <c r="C4" s="114"/>
      <c r="D4" s="114"/>
      <c r="E4" s="114"/>
      <c r="F4" s="114"/>
      <c r="G4" s="114"/>
      <c r="H4" s="114"/>
      <c r="I4" s="217"/>
      <c r="J4" s="217"/>
      <c r="K4" s="217"/>
      <c r="L4" s="217"/>
      <c r="M4" s="217"/>
      <c r="N4" s="217"/>
      <c r="O4" s="115"/>
    </row>
    <row r="5" spans="2:15" ht="15" customHeight="1" x14ac:dyDescent="0.7">
      <c r="B5" s="113"/>
      <c r="C5" s="114"/>
      <c r="D5" s="114"/>
      <c r="E5" s="114"/>
      <c r="F5" s="114"/>
      <c r="G5" s="114"/>
      <c r="H5" s="114"/>
      <c r="I5" s="217"/>
      <c r="J5" s="217"/>
      <c r="K5" s="217"/>
      <c r="L5" s="217"/>
      <c r="M5" s="217"/>
      <c r="N5" s="217"/>
      <c r="O5" s="115"/>
    </row>
    <row r="6" spans="2:15" ht="15" customHeight="1" thickBot="1" x14ac:dyDescent="0.4">
      <c r="B6" s="116"/>
      <c r="C6" s="117"/>
      <c r="D6" s="117"/>
      <c r="E6" s="117"/>
      <c r="F6" s="117"/>
      <c r="G6" s="117"/>
      <c r="H6" s="117"/>
      <c r="I6" s="117"/>
      <c r="J6" s="117"/>
      <c r="K6" s="117"/>
      <c r="L6" s="117"/>
      <c r="M6" s="117"/>
      <c r="N6" s="117"/>
      <c r="O6" s="118"/>
    </row>
    <row r="7" spans="2:15" ht="15" customHeight="1" thickTop="1" x14ac:dyDescent="0.55000000000000004">
      <c r="B7" s="136"/>
      <c r="C7" s="239" t="s">
        <v>224</v>
      </c>
      <c r="D7" s="239"/>
      <c r="E7" s="239"/>
      <c r="F7" s="239"/>
      <c r="G7" s="239"/>
      <c r="H7" s="239"/>
      <c r="I7" s="239"/>
      <c r="J7" s="239"/>
      <c r="K7" s="141"/>
      <c r="L7" s="141"/>
      <c r="M7" s="141"/>
      <c r="N7" s="141"/>
      <c r="O7" s="142"/>
    </row>
    <row r="8" spans="2:15" ht="14.25" customHeight="1" x14ac:dyDescent="0.55000000000000004">
      <c r="B8" s="125"/>
      <c r="C8" s="240"/>
      <c r="D8" s="240"/>
      <c r="E8" s="240"/>
      <c r="F8" s="240"/>
      <c r="G8" s="240"/>
      <c r="H8" s="240"/>
      <c r="I8" s="240"/>
      <c r="J8" s="240"/>
      <c r="K8" s="143"/>
      <c r="L8" s="143"/>
      <c r="M8" s="143"/>
      <c r="N8" s="143"/>
      <c r="O8" s="126"/>
    </row>
    <row r="9" spans="2:15" ht="14.25" customHeight="1" x14ac:dyDescent="0.55000000000000004">
      <c r="B9" s="125"/>
      <c r="C9" s="240"/>
      <c r="D9" s="240"/>
      <c r="E9" s="240"/>
      <c r="F9" s="240"/>
      <c r="G9" s="240"/>
      <c r="H9" s="240"/>
      <c r="I9" s="240"/>
      <c r="J9" s="240"/>
      <c r="K9" s="143"/>
      <c r="L9" s="143"/>
      <c r="M9" s="143"/>
      <c r="N9" s="143"/>
      <c r="O9" s="126"/>
    </row>
    <row r="10" spans="2:15" x14ac:dyDescent="0.3">
      <c r="B10" s="125"/>
      <c r="C10" s="204" t="s">
        <v>225</v>
      </c>
      <c r="D10" s="205"/>
      <c r="E10" s="206"/>
      <c r="O10" s="126"/>
    </row>
    <row r="11" spans="2:15" x14ac:dyDescent="0.3">
      <c r="B11" s="125"/>
      <c r="C11" s="7">
        <v>1</v>
      </c>
      <c r="D11" s="8" t="s">
        <v>226</v>
      </c>
      <c r="E11" s="21">
        <f>'(5)Project Summary'!E28</f>
        <v>61241000</v>
      </c>
      <c r="O11" s="126"/>
    </row>
    <row r="12" spans="2:15" x14ac:dyDescent="0.3">
      <c r="B12" s="125"/>
      <c r="C12" s="11">
        <v>2</v>
      </c>
      <c r="D12" s="12" t="s">
        <v>227</v>
      </c>
      <c r="E12" s="22">
        <f>E11*'(2)Dev.-Inv. &amp; Lender Input'!E35</f>
        <v>1224820</v>
      </c>
      <c r="O12" s="126"/>
    </row>
    <row r="13" spans="2:15" x14ac:dyDescent="0.3">
      <c r="B13" s="125"/>
      <c r="C13" s="11">
        <v>3</v>
      </c>
      <c r="D13" s="12" t="s">
        <v>228</v>
      </c>
      <c r="E13" s="22">
        <f ca="1">'(5)Project Summary'!E36</f>
        <v>19245000</v>
      </c>
      <c r="O13" s="126"/>
    </row>
    <row r="14" spans="2:15" x14ac:dyDescent="0.3">
      <c r="B14" s="125"/>
      <c r="C14" s="30">
        <v>4</v>
      </c>
      <c r="D14" s="26" t="s">
        <v>229</v>
      </c>
      <c r="E14" s="28">
        <f ca="1">E11-E12-E13</f>
        <v>40771180</v>
      </c>
      <c r="O14" s="126"/>
    </row>
    <row r="15" spans="2:15" x14ac:dyDescent="0.3">
      <c r="B15" s="125"/>
      <c r="O15" s="126"/>
    </row>
    <row r="16" spans="2:15" x14ac:dyDescent="0.3">
      <c r="B16" s="125"/>
      <c r="C16" s="204" t="s">
        <v>230</v>
      </c>
      <c r="D16" s="205"/>
      <c r="E16" s="206"/>
      <c r="O16" s="126"/>
    </row>
    <row r="17" spans="2:15" x14ac:dyDescent="0.3">
      <c r="B17" s="125"/>
      <c r="C17" s="7">
        <v>5</v>
      </c>
      <c r="D17" s="8" t="s">
        <v>231</v>
      </c>
      <c r="E17" s="21">
        <f>'(5)Project Summary'!E43</f>
        <v>39806000</v>
      </c>
      <c r="O17" s="126"/>
    </row>
    <row r="18" spans="2:15" x14ac:dyDescent="0.3">
      <c r="B18" s="125"/>
      <c r="C18" s="11">
        <v>6</v>
      </c>
      <c r="D18" s="12" t="s">
        <v>232</v>
      </c>
      <c r="E18" s="22">
        <f ca="1">'(5)Project Summary'!E36</f>
        <v>19245000</v>
      </c>
      <c r="O18" s="126"/>
    </row>
    <row r="19" spans="2:15" x14ac:dyDescent="0.3">
      <c r="B19" s="125"/>
      <c r="C19" s="11">
        <v>7</v>
      </c>
      <c r="D19" s="12" t="s">
        <v>233</v>
      </c>
      <c r="E19" s="22">
        <f ca="1">E17-E18</f>
        <v>20561000</v>
      </c>
      <c r="O19" s="126"/>
    </row>
    <row r="20" spans="2:15" x14ac:dyDescent="0.3">
      <c r="B20" s="125"/>
      <c r="C20" s="11">
        <v>8</v>
      </c>
      <c r="D20" s="12" t="s">
        <v>234</v>
      </c>
      <c r="E20" s="22">
        <f>'(5)Project Summary'!E44</f>
        <v>398060</v>
      </c>
      <c r="O20" s="126"/>
    </row>
    <row r="21" spans="2:15" x14ac:dyDescent="0.3">
      <c r="B21" s="125"/>
      <c r="C21" s="30">
        <v>9</v>
      </c>
      <c r="D21" s="26" t="s">
        <v>235</v>
      </c>
      <c r="E21" s="28">
        <f ca="1">E19-E20</f>
        <v>20162940</v>
      </c>
      <c r="O21" s="126"/>
    </row>
    <row r="22" spans="2:15" x14ac:dyDescent="0.3">
      <c r="B22" s="125"/>
      <c r="O22" s="126"/>
    </row>
    <row r="23" spans="2:15" x14ac:dyDescent="0.3">
      <c r="B23" s="125"/>
      <c r="C23" s="204" t="s">
        <v>236</v>
      </c>
      <c r="D23" s="205"/>
      <c r="E23" s="206"/>
      <c r="O23" s="126"/>
    </row>
    <row r="24" spans="2:15" x14ac:dyDescent="0.3">
      <c r="B24" s="125"/>
      <c r="C24" s="7">
        <v>10</v>
      </c>
      <c r="D24" s="8" t="s">
        <v>229</v>
      </c>
      <c r="E24" s="21">
        <f ca="1">E14</f>
        <v>40771180</v>
      </c>
      <c r="O24" s="126"/>
    </row>
    <row r="25" spans="2:15" x14ac:dyDescent="0.3">
      <c r="B25" s="125"/>
      <c r="C25" s="11">
        <v>11</v>
      </c>
      <c r="D25" s="12" t="s">
        <v>237</v>
      </c>
      <c r="E25" s="22">
        <f ca="1">E21</f>
        <v>20162940</v>
      </c>
      <c r="O25" s="126"/>
    </row>
    <row r="26" spans="2:15" x14ac:dyDescent="0.3">
      <c r="B26" s="125"/>
      <c r="C26" s="30">
        <v>12</v>
      </c>
      <c r="D26" s="26" t="s">
        <v>236</v>
      </c>
      <c r="E26" s="28">
        <f ca="1">E24-E25</f>
        <v>20608240</v>
      </c>
      <c r="O26" s="126"/>
    </row>
    <row r="27" spans="2:15" x14ac:dyDescent="0.3">
      <c r="B27" s="125"/>
      <c r="O27" s="126"/>
    </row>
    <row r="28" spans="2:15" x14ac:dyDescent="0.3">
      <c r="B28" s="125"/>
      <c r="C28" s="204" t="s">
        <v>238</v>
      </c>
      <c r="D28" s="205"/>
      <c r="E28" s="206"/>
      <c r="O28" s="126"/>
    </row>
    <row r="29" spans="2:15" x14ac:dyDescent="0.3">
      <c r="B29" s="125"/>
      <c r="C29" s="7">
        <v>13</v>
      </c>
      <c r="D29" s="8" t="s">
        <v>239</v>
      </c>
      <c r="E29" s="21">
        <f ca="1">E11-E12-'(5)Project Summary'!E27</f>
        <v>35958792.5</v>
      </c>
      <c r="O29" s="126"/>
    </row>
    <row r="30" spans="2:15" x14ac:dyDescent="0.3">
      <c r="B30" s="125"/>
      <c r="C30" s="11">
        <v>14</v>
      </c>
      <c r="D30" s="12" t="s">
        <v>240</v>
      </c>
      <c r="E30" s="48">
        <f ca="1">IF('(7)Cost Mark-up Feasibility '!V19&lt;=0,0,('(7)Cost Mark-up Feasibility '!V10-'(7)Cost Mark-up Feasibility '!V11-'(7)Cost Mark-up Feasibility '!V19)/'(7)Cost Mark-up Feasibility '!V19)</f>
        <v>1.4947183543452569</v>
      </c>
      <c r="O30" s="126"/>
    </row>
    <row r="31" spans="2:15" x14ac:dyDescent="0.3">
      <c r="B31" s="125"/>
      <c r="C31" s="9">
        <v>15</v>
      </c>
      <c r="D31" s="10" t="s">
        <v>241</v>
      </c>
      <c r="E31" s="20">
        <f ca="1">IF('(2)Dev.-Inv. &amp; Lender Input'!E35&lt;=0,0,('(9)Annual Cash Flow Projection'!E63/'(6)Development Budget'!H74)-('(2)Dev.-Inv. &amp; Lender Input'!E34/(1-'(2)Dev.-Inv. &amp; Lender Input'!E35)))</f>
        <v>9.9139482686165001E-2</v>
      </c>
      <c r="O31" s="126"/>
    </row>
    <row r="32" spans="2:15" ht="15" customHeight="1" x14ac:dyDescent="0.55000000000000004">
      <c r="B32" s="125"/>
      <c r="C32" s="1"/>
      <c r="D32" s="143"/>
      <c r="E32" s="143"/>
      <c r="F32" s="143"/>
      <c r="G32" s="143"/>
      <c r="H32" s="143"/>
      <c r="I32" s="143"/>
      <c r="J32" s="143"/>
      <c r="K32" s="143"/>
      <c r="L32" s="143"/>
      <c r="M32" s="143"/>
      <c r="N32" s="143"/>
      <c r="O32" s="126"/>
    </row>
    <row r="33" spans="2:15" ht="14.25" customHeight="1" x14ac:dyDescent="0.3">
      <c r="B33" s="125"/>
      <c r="C33" s="241" t="s">
        <v>242</v>
      </c>
      <c r="D33" s="242"/>
      <c r="E33" s="242"/>
      <c r="F33" s="242"/>
      <c r="G33" s="242"/>
      <c r="H33" s="242"/>
      <c r="I33" s="242"/>
      <c r="J33" s="242"/>
      <c r="K33" s="242"/>
      <c r="L33" s="242"/>
      <c r="M33" s="242"/>
      <c r="N33" s="243"/>
      <c r="O33" s="126"/>
    </row>
    <row r="34" spans="2:15" x14ac:dyDescent="0.3">
      <c r="B34" s="125"/>
      <c r="C34" s="238" t="s">
        <v>75</v>
      </c>
      <c r="D34" s="238"/>
      <c r="E34" s="14">
        <v>1</v>
      </c>
      <c r="F34" s="14">
        <v>2</v>
      </c>
      <c r="G34" s="14">
        <v>3</v>
      </c>
      <c r="H34" s="14">
        <v>4</v>
      </c>
      <c r="I34" s="14">
        <v>5</v>
      </c>
      <c r="J34" s="14">
        <v>6</v>
      </c>
      <c r="K34" s="14">
        <v>7</v>
      </c>
      <c r="L34" s="14">
        <v>8</v>
      </c>
      <c r="M34" s="14">
        <v>9</v>
      </c>
      <c r="N34" s="14">
        <v>10</v>
      </c>
      <c r="O34" s="126"/>
    </row>
    <row r="35" spans="2:15" x14ac:dyDescent="0.3">
      <c r="B35" s="125"/>
      <c r="C35" s="7">
        <v>16</v>
      </c>
      <c r="D35" s="8" t="s">
        <v>243</v>
      </c>
      <c r="E35" s="19">
        <f ca="1">IF($E$26&lt;=0,0,'(9)Annual Cash Flow Projection'!E65/('(10)Sale Proceeds-Ratios'!$E$26))</f>
        <v>6.8731411169777476E-2</v>
      </c>
      <c r="F35" s="19">
        <f ca="1">IF($E$26&lt;=0,0,'(9)Annual Cash Flow Projection'!F65/('(10)Sale Proceeds-Ratios'!$E$26))</f>
        <v>7.3560401903581041E-2</v>
      </c>
      <c r="G35" s="19">
        <f ca="1">IF($E$26&lt;=0,0,'(9)Annual Cash Flow Projection'!G65/('(10)Sale Proceeds-Ratios'!$E$26))</f>
        <v>7.851011740572969E-2</v>
      </c>
      <c r="H35" s="19">
        <f ca="1">IF($E$26&lt;=0,0,'(9)Annual Cash Flow Projection'!H65/('(10)Sale Proceeds-Ratios'!$E$26))</f>
        <v>8.3583575795432047E-2</v>
      </c>
      <c r="I35" s="19">
        <f ca="1">IF($E$26&lt;=0,0,'(9)Annual Cash Flow Projection'!I65/('(10)Sale Proceeds-Ratios'!$E$26))</f>
        <v>8.8783870644876986E-2</v>
      </c>
      <c r="J35" s="19">
        <f ca="1">IF($E$26&lt;=0,0,'(9)Annual Cash Flow Projection'!J65/('(10)Sale Proceeds-Ratios'!$E$26))</f>
        <v>9.4114172865558038E-2</v>
      </c>
      <c r="K35" s="19">
        <f ca="1">IF($E$26&lt;=0,0,'(9)Annual Cash Flow Projection'!K65/('(10)Sale Proceeds-Ratios'!$E$26))</f>
        <v>9.9577732641756053E-2</v>
      </c>
      <c r="L35" s="19">
        <f ca="1">IF($E$26&lt;=0,0,'(9)Annual Cash Flow Projection'!L65/('(10)Sale Proceeds-Ratios'!$E$26))</f>
        <v>0.10517788141235906</v>
      </c>
      <c r="M35" s="19">
        <f ca="1">IF($E$26&lt;=0,0,'(9)Annual Cash Flow Projection'!M65/('(10)Sale Proceeds-Ratios'!$E$26))</f>
        <v>0.11091803390222717</v>
      </c>
      <c r="N35" s="19">
        <f ca="1">IF($E$26&lt;=0,0,'(9)Annual Cash Flow Projection'!N65/('(10)Sale Proceeds-Ratios'!$E$26))</f>
        <v>0.11680169020434197</v>
      </c>
      <c r="O35" s="126"/>
    </row>
    <row r="36" spans="2:15" x14ac:dyDescent="0.3">
      <c r="B36" s="125"/>
      <c r="C36" s="11">
        <v>17</v>
      </c>
      <c r="D36" s="12" t="s">
        <v>244</v>
      </c>
      <c r="E36" s="48">
        <f>IF('(5)Project Summary'!$E$28=0,0,'(9)Annual Cash Flow Projection'!E63/'(5)Project Summary'!$E$28)</f>
        <v>6.5000244933949472E-2</v>
      </c>
      <c r="F36" s="48">
        <f>IF('(5)Project Summary'!$E$28=0,0,'(9)Annual Cash Flow Projection'!F63/'(5)Project Summary'!$E$28)</f>
        <v>6.6625251057298218E-2</v>
      </c>
      <c r="G36" s="48">
        <f>IF('(5)Project Summary'!$E$28=0,0,'(9)Annual Cash Flow Projection'!G63/'(5)Project Summary'!$E$28)</f>
        <v>6.8290882333730665E-2</v>
      </c>
      <c r="H36" s="48">
        <f>IF('(5)Project Summary'!$E$28=0,0,'(9)Annual Cash Flow Projection'!H63/'(5)Project Summary'!$E$28)</f>
        <v>6.9998154392073936E-2</v>
      </c>
      <c r="I36" s="48">
        <f>IF('(5)Project Summary'!$E$28=0,0,'(9)Annual Cash Flow Projection'!I63/'(5)Project Summary'!$E$28)</f>
        <v>7.1748108251875775E-2</v>
      </c>
      <c r="J36" s="48">
        <f>IF('(5)Project Summary'!$E$28=0,0,'(9)Annual Cash Flow Projection'!J63/'(5)Project Summary'!$E$28)</f>
        <v>7.3541810958172679E-2</v>
      </c>
      <c r="K36" s="48">
        <f>IF('(5)Project Summary'!$E$28=0,0,'(9)Annual Cash Flow Projection'!K63/'(5)Project Summary'!$E$28)</f>
        <v>7.5380356232126966E-2</v>
      </c>
      <c r="L36" s="48">
        <f>IF('(5)Project Summary'!$E$28=0,0,'(9)Annual Cash Flow Projection'!L63/'(5)Project Summary'!$E$28)</f>
        <v>7.7264865137930142E-2</v>
      </c>
      <c r="M36" s="48">
        <f>IF('(5)Project Summary'!$E$28=0,0,'(9)Annual Cash Flow Projection'!M63/'(5)Project Summary'!$E$28)</f>
        <v>7.9196486766378388E-2</v>
      </c>
      <c r="N36" s="48">
        <f>IF('(5)Project Summary'!$E$28=0,0,'(9)Annual Cash Flow Projection'!N63/'(5)Project Summary'!$E$28)</f>
        <v>8.1176398935537852E-2</v>
      </c>
      <c r="O36" s="126"/>
    </row>
    <row r="37" spans="2:15" x14ac:dyDescent="0.3">
      <c r="B37" s="125"/>
      <c r="C37" s="11">
        <v>18</v>
      </c>
      <c r="D37" s="12" t="s">
        <v>245</v>
      </c>
      <c r="E37" s="41">
        <f>IF('(9)Annual Cash Flow Projection'!E64=0,0,'(9)Annual Cash Flow Projection'!E63/'(9)Annual Cash Flow Projection'!E64)</f>
        <v>1.5523780069649713</v>
      </c>
      <c r="F37" s="41">
        <f>IF('(9)Annual Cash Flow Projection'!F64=0,0,'(9)Annual Cash Flow Projection'!F63/'(9)Annual Cash Flow Projection'!F64)</f>
        <v>1.5911874571390956</v>
      </c>
      <c r="G37" s="41">
        <f>IF('(9)Annual Cash Flow Projection'!G64=0,0,'(9)Annual Cash Flow Projection'!G63/'(9)Annual Cash Flow Projection'!G64)</f>
        <v>1.630967143567573</v>
      </c>
      <c r="H37" s="41">
        <f>IF('(9)Annual Cash Flow Projection'!H64=0,0,'(9)Annual Cash Flow Projection'!H63/'(9)Annual Cash Flow Projection'!H64)</f>
        <v>1.6717413221567621</v>
      </c>
      <c r="I37" s="41">
        <f>IF('(9)Annual Cash Flow Projection'!I64=0,0,'(9)Annual Cash Flow Projection'!I63/'(9)Annual Cash Flow Projection'!I64)</f>
        <v>1.7135348552106813</v>
      </c>
      <c r="J37" s="41">
        <f>IF('(9)Annual Cash Flow Projection'!J64=0,0,'(9)Annual Cash Flow Projection'!J63/'(9)Annual Cash Flow Projection'!J64)</f>
        <v>1.7563732265909484</v>
      </c>
      <c r="K37" s="41">
        <f>IF('(9)Annual Cash Flow Projection'!K64=0,0,'(9)Annual Cash Flow Projection'!K63/'(9)Annual Cash Flow Projection'!K64)</f>
        <v>1.8002825572557215</v>
      </c>
      <c r="L37" s="41">
        <f>IF('(9)Annual Cash Flow Projection'!L64=0,0,'(9)Annual Cash Flow Projection'!L63/'(9)Annual Cash Flow Projection'!L64)</f>
        <v>1.8452896211871144</v>
      </c>
      <c r="M37" s="41">
        <f>IF('(9)Annual Cash Flow Projection'!M64=0,0,'(9)Annual Cash Flow Projection'!M63/'(9)Annual Cash Flow Projection'!M64)</f>
        <v>1.8914218617167922</v>
      </c>
      <c r="N37" s="41">
        <f>IF('(9)Annual Cash Flow Projection'!N64=0,0,'(9)Annual Cash Flow Projection'!N63/'(9)Annual Cash Flow Projection'!N64)</f>
        <v>1.938707408259712</v>
      </c>
      <c r="O37" s="126"/>
    </row>
    <row r="38" spans="2:15" x14ac:dyDescent="0.3">
      <c r="B38" s="125"/>
      <c r="C38" s="11">
        <v>19</v>
      </c>
      <c r="D38" s="12" t="s">
        <v>246</v>
      </c>
      <c r="E38" s="48">
        <f t="shared" ref="E38:N38" si="0">IF(E69=0,0,E71/E69)</f>
        <v>0.57672038102059331</v>
      </c>
      <c r="F38" s="48">
        <f t="shared" si="0"/>
        <v>0.55379805145632721</v>
      </c>
      <c r="G38" s="48">
        <f t="shared" si="0"/>
        <v>0.53120498406201411</v>
      </c>
      <c r="H38" s="48">
        <f t="shared" si="0"/>
        <v>0.50893540139996762</v>
      </c>
      <c r="I38" s="48">
        <f t="shared" si="0"/>
        <v>0.4869688807237626</v>
      </c>
      <c r="J38" s="48">
        <f t="shared" si="0"/>
        <v>0.46529912224169834</v>
      </c>
      <c r="K38" s="48">
        <f t="shared" si="0"/>
        <v>0.44390135709341272</v>
      </c>
      <c r="L38" s="48">
        <f t="shared" si="0"/>
        <v>0.42276987616249628</v>
      </c>
      <c r="M38" s="48">
        <f t="shared" si="0"/>
        <v>0.40189736345184807</v>
      </c>
      <c r="N38" s="48">
        <f t="shared" si="0"/>
        <v>0.38125710541615337</v>
      </c>
      <c r="O38" s="126"/>
    </row>
    <row r="39" spans="2:15" x14ac:dyDescent="0.3">
      <c r="B39" s="125"/>
      <c r="C39" s="9">
        <v>20</v>
      </c>
      <c r="D39" s="10" t="s">
        <v>247</v>
      </c>
      <c r="E39" s="20">
        <f ca="1">E88</f>
        <v>0.39947212117007846</v>
      </c>
      <c r="F39" s="20">
        <f t="shared" ref="F39:N39" ca="1" si="1">F88</f>
        <v>0.26573854950911002</v>
      </c>
      <c r="G39" s="20">
        <f t="shared" ca="1" si="1"/>
        <v>0.22250834056862723</v>
      </c>
      <c r="H39" s="20">
        <f t="shared" ca="1" si="1"/>
        <v>0.20044514430319404</v>
      </c>
      <c r="I39" s="20">
        <f t="shared" ca="1" si="1"/>
        <v>0.18671485793112752</v>
      </c>
      <c r="J39" s="20">
        <f t="shared" ca="1" si="1"/>
        <v>0.17715206038280207</v>
      </c>
      <c r="K39" s="20">
        <f t="shared" ca="1" si="1"/>
        <v>0.17000553039106059</v>
      </c>
      <c r="L39" s="20">
        <f t="shared" ca="1" si="1"/>
        <v>0.16439391633792133</v>
      </c>
      <c r="M39" s="20">
        <f t="shared" ca="1" si="1"/>
        <v>0.15982786148809569</v>
      </c>
      <c r="N39" s="20">
        <f t="shared" ca="1" si="1"/>
        <v>0.156019272069295</v>
      </c>
      <c r="O39" s="126"/>
    </row>
    <row r="40" spans="2:15" x14ac:dyDescent="0.3">
      <c r="B40" s="125"/>
      <c r="O40" s="126"/>
    </row>
    <row r="41" spans="2:15" x14ac:dyDescent="0.3">
      <c r="B41" s="125"/>
      <c r="O41" s="126"/>
    </row>
    <row r="42" spans="2:15" x14ac:dyDescent="0.3">
      <c r="B42" s="125"/>
      <c r="O42" s="126"/>
    </row>
    <row r="43" spans="2:15" x14ac:dyDescent="0.3">
      <c r="B43" s="125"/>
      <c r="O43" s="126"/>
    </row>
    <row r="44" spans="2:15" x14ac:dyDescent="0.3">
      <c r="B44" s="125"/>
      <c r="O44" s="126"/>
    </row>
    <row r="45" spans="2:15" x14ac:dyDescent="0.3">
      <c r="B45" s="125"/>
      <c r="O45" s="126"/>
    </row>
    <row r="46" spans="2:15" x14ac:dyDescent="0.3">
      <c r="B46" s="125"/>
      <c r="O46" s="126"/>
    </row>
    <row r="47" spans="2:15" x14ac:dyDescent="0.3">
      <c r="B47" s="125"/>
      <c r="O47" s="126"/>
    </row>
    <row r="48" spans="2:15" x14ac:dyDescent="0.3">
      <c r="B48" s="125"/>
      <c r="O48" s="126"/>
    </row>
    <row r="49" spans="2:15" x14ac:dyDescent="0.3">
      <c r="B49" s="125"/>
      <c r="O49" s="126"/>
    </row>
    <row r="50" spans="2:15" x14ac:dyDescent="0.3">
      <c r="B50" s="125"/>
      <c r="O50" s="126"/>
    </row>
    <row r="51" spans="2:15" x14ac:dyDescent="0.3">
      <c r="B51" s="125"/>
      <c r="O51" s="126"/>
    </row>
    <row r="52" spans="2:15" x14ac:dyDescent="0.3">
      <c r="B52" s="125"/>
      <c r="O52" s="126"/>
    </row>
    <row r="53" spans="2:15" x14ac:dyDescent="0.3">
      <c r="B53" s="125"/>
      <c r="O53" s="126"/>
    </row>
    <row r="54" spans="2:15" x14ac:dyDescent="0.3">
      <c r="B54" s="125"/>
      <c r="O54" s="126"/>
    </row>
    <row r="55" spans="2:15" x14ac:dyDescent="0.3">
      <c r="B55" s="125"/>
      <c r="O55" s="126"/>
    </row>
    <row r="56" spans="2:15" x14ac:dyDescent="0.3">
      <c r="B56" s="125"/>
      <c r="O56" s="126"/>
    </row>
    <row r="57" spans="2:15" x14ac:dyDescent="0.3">
      <c r="B57" s="125"/>
      <c r="O57" s="126"/>
    </row>
    <row r="58" spans="2:15" x14ac:dyDescent="0.3">
      <c r="B58" s="125"/>
      <c r="O58" s="126"/>
    </row>
    <row r="59" spans="2:15" x14ac:dyDescent="0.3">
      <c r="B59" s="125"/>
      <c r="O59" s="126"/>
    </row>
    <row r="60" spans="2:15" x14ac:dyDescent="0.3">
      <c r="B60" s="125"/>
      <c r="O60" s="126"/>
    </row>
    <row r="61" spans="2:15" x14ac:dyDescent="0.3">
      <c r="B61" s="125"/>
      <c r="O61" s="126"/>
    </row>
    <row r="62" spans="2:15" x14ac:dyDescent="0.3">
      <c r="B62" s="125"/>
      <c r="O62" s="126"/>
    </row>
    <row r="63" spans="2:15" x14ac:dyDescent="0.3">
      <c r="B63" s="125"/>
      <c r="D63" s="1" t="str">
        <f>VERSION</f>
        <v>Version 9.0</v>
      </c>
      <c r="N63" s="135">
        <f>'(9)Annual Cash Flow Projection'!O68+1</f>
        <v>10</v>
      </c>
      <c r="O63" s="126"/>
    </row>
    <row r="64" spans="2:15" ht="14.5" thickBot="1" x14ac:dyDescent="0.35">
      <c r="B64" s="147"/>
      <c r="C64" s="148"/>
      <c r="D64" s="131"/>
      <c r="E64" s="131"/>
      <c r="F64" s="131"/>
      <c r="G64" s="131"/>
      <c r="H64" s="131"/>
      <c r="I64" s="131"/>
      <c r="J64" s="131"/>
      <c r="K64" s="131"/>
      <c r="L64" s="131"/>
      <c r="M64" s="131"/>
      <c r="N64" s="131"/>
      <c r="O64" s="132"/>
    </row>
    <row r="65" spans="4:16" ht="14.5" thickTop="1" x14ac:dyDescent="0.3"/>
    <row r="68" spans="4:16" hidden="1" x14ac:dyDescent="0.3"/>
    <row r="69" spans="4:16" hidden="1" x14ac:dyDescent="0.3">
      <c r="D69" s="1" t="s">
        <v>248</v>
      </c>
      <c r="E69" s="5">
        <f>IF('(2)Dev.-Inv. &amp; Lender Input'!$E$36=0,0,ROUND('(9)Annual Cash Flow Projection'!F63/'(2)Dev.-Inv. &amp; Lender Input'!$E$36,-3))</f>
        <v>68003000</v>
      </c>
      <c r="F69" s="5">
        <f>IF('(2)Dev.-Inv. &amp; Lender Input'!$E$36=0,0,ROUND('(9)Annual Cash Flow Projection'!G63/'(2)Dev.-Inv. &amp; Lender Input'!$E$36,-3))</f>
        <v>69703000</v>
      </c>
      <c r="G69" s="5">
        <f>IF('(2)Dev.-Inv. &amp; Lender Input'!$E$36=0,0,ROUND('(9)Annual Cash Flow Projection'!H63/'(2)Dev.-Inv. &amp; Lender Input'!$E$36,-3))</f>
        <v>71446000</v>
      </c>
      <c r="H69" s="5">
        <f>IF('(2)Dev.-Inv. &amp; Lender Input'!$E$36=0,0,ROUND('(9)Annual Cash Flow Projection'!I63/'(2)Dev.-Inv. &amp; Lender Input'!$E$36,-3))</f>
        <v>73232000</v>
      </c>
      <c r="I69" s="5">
        <f>IF('(2)Dev.-Inv. &amp; Lender Input'!$E$36=0,0,ROUND('(9)Annual Cash Flow Projection'!J63/'(2)Dev.-Inv. &amp; Lender Input'!$E$36,-3))</f>
        <v>75063000</v>
      </c>
      <c r="J69" s="5">
        <f>IF('(2)Dev.-Inv. &amp; Lender Input'!$E$36=0,0,ROUND('(9)Annual Cash Flow Projection'!K63/'(2)Dev.-Inv. &amp; Lender Input'!$E$36,-3))</f>
        <v>76939000</v>
      </c>
      <c r="K69" s="5">
        <f>IF('(2)Dev.-Inv. &amp; Lender Input'!$E$36=0,0,ROUND('(9)Annual Cash Flow Projection'!L63/'(2)Dev.-Inv. &amp; Lender Input'!$E$36,-3))</f>
        <v>78863000</v>
      </c>
      <c r="L69" s="5">
        <f>IF('(2)Dev.-Inv. &amp; Lender Input'!$E$36=0,0,ROUND('(9)Annual Cash Flow Projection'!M63/'(2)Dev.-Inv. &amp; Lender Input'!$E$36,-3))</f>
        <v>80835000</v>
      </c>
      <c r="M69" s="5">
        <f>IF('(2)Dev.-Inv. &amp; Lender Input'!$E$36=0,0,ROUND('(9)Annual Cash Flow Projection'!N63/'(2)Dev.-Inv. &amp; Lender Input'!$E$36,-3))</f>
        <v>82855000</v>
      </c>
      <c r="N69" s="5">
        <f>IF('(2)Dev.-Inv. &amp; Lender Input'!$E$36=0,0,ROUND('(9)Annual Cash Flow Projection'!O63/'(2)Dev.-Inv. &amp; Lender Input'!$E$36,-3))</f>
        <v>84927000</v>
      </c>
      <c r="P69" s="1">
        <v>1</v>
      </c>
    </row>
    <row r="70" spans="4:16" hidden="1" x14ac:dyDescent="0.3">
      <c r="D70" s="1" t="s">
        <v>227</v>
      </c>
      <c r="E70" s="5">
        <f>E69*'(2)Dev.-Inv. &amp; Lender Input'!$E$35</f>
        <v>1360060</v>
      </c>
      <c r="F70" s="5">
        <f>F69*'(2)Dev.-Inv. &amp; Lender Input'!$E$35</f>
        <v>1394060</v>
      </c>
      <c r="G70" s="5">
        <f>G69*'(2)Dev.-Inv. &amp; Lender Input'!$E$35</f>
        <v>1428920</v>
      </c>
      <c r="H70" s="5">
        <f>H69*'(2)Dev.-Inv. &amp; Lender Input'!$E$35</f>
        <v>1464640</v>
      </c>
      <c r="I70" s="5">
        <f>I69*'(2)Dev.-Inv. &amp; Lender Input'!$E$35</f>
        <v>1501260</v>
      </c>
      <c r="J70" s="5">
        <f>J69*'(2)Dev.-Inv. &amp; Lender Input'!$E$35</f>
        <v>1538780</v>
      </c>
      <c r="K70" s="5">
        <f>K69*'(2)Dev.-Inv. &amp; Lender Input'!$E$35</f>
        <v>1577260</v>
      </c>
      <c r="L70" s="5">
        <f>L69*'(2)Dev.-Inv. &amp; Lender Input'!$E$35</f>
        <v>1616700</v>
      </c>
      <c r="M70" s="5">
        <f>M69*'(2)Dev.-Inv. &amp; Lender Input'!$E$35</f>
        <v>1657100</v>
      </c>
      <c r="N70" s="5">
        <f>N69*'(2)Dev.-Inv. &amp; Lender Input'!$E$35</f>
        <v>1698540</v>
      </c>
      <c r="P70" s="1">
        <v>2</v>
      </c>
    </row>
    <row r="71" spans="4:16" hidden="1" x14ac:dyDescent="0.3">
      <c r="D71" s="1" t="s">
        <v>249</v>
      </c>
      <c r="E71" s="5">
        <f>IF('(2)Dev.-Inv. &amp; Lender Input'!$E$29=0,0,FV('(2)Dev.-Inv. &amp; Lender Input'!$E$27/'(2)Dev.-Inv. &amp; Lender Input'!$E$29,E34*'(2)Dev.-Inv. &amp; Lender Input'!$E$29,'(9)Annual Cash Flow Projection'!E64/'(2)Dev.-Inv. &amp; Lender Input'!$E$29,-'(5)Project Summary'!$E$43,0))</f>
        <v>39218716.070543408</v>
      </c>
      <c r="F71" s="5">
        <f>IF('(2)Dev.-Inv. &amp; Lender Input'!$E$29=0,0,FV('(2)Dev.-Inv. &amp; Lender Input'!$E$27/'(2)Dev.-Inv. &amp; Lender Input'!$E$29,F34*'(2)Dev.-Inv. &amp; Lender Input'!$E$29,'(9)Annual Cash Flow Projection'!F64/'(2)Dev.-Inv. &amp; Lender Input'!$E$29,-'(5)Project Summary'!$E$43,0))</f>
        <v>38601385.580660373</v>
      </c>
      <c r="G71" s="5">
        <f>IF('(2)Dev.-Inv. &amp; Lender Input'!$E$29=0,0,FV('(2)Dev.-Inv. &amp; Lender Input'!$E$27/'(2)Dev.-Inv. &amp; Lender Input'!$E$29,G34*'(2)Dev.-Inv. &amp; Lender Input'!$E$29,'(9)Annual Cash Flow Projection'!G64/'(2)Dev.-Inv. &amp; Lender Input'!$E$29,-'(5)Project Summary'!$E$43,0))</f>
        <v>37952471.291294657</v>
      </c>
      <c r="H71" s="5">
        <f>IF('(2)Dev.-Inv. &amp; Lender Input'!$E$29=0,0,FV('(2)Dev.-Inv. &amp; Lender Input'!$E$27/'(2)Dev.-Inv. &amp; Lender Input'!$E$29,H34*'(2)Dev.-Inv. &amp; Lender Input'!$E$29,'(9)Annual Cash Flow Projection'!H64/'(2)Dev.-Inv. &amp; Lender Input'!$E$29,-'(5)Project Summary'!$E$43,0))</f>
        <v>37270357.315322429</v>
      </c>
      <c r="I71" s="5">
        <f>IF('(2)Dev.-Inv. &amp; Lender Input'!$E$29=0,0,FV('(2)Dev.-Inv. &amp; Lender Input'!$E$27/'(2)Dev.-Inv. &amp; Lender Input'!$E$29,I34*'(2)Dev.-Inv. &amp; Lender Input'!$E$29,'(9)Annual Cash Flow Projection'!I64/'(2)Dev.-Inv. &amp; Lender Input'!$E$29,-'(5)Project Summary'!$E$43,0))</f>
        <v>36553345.093767792</v>
      </c>
      <c r="J71" s="5">
        <f>IF('(2)Dev.-Inv. &amp; Lender Input'!$E$29=0,0,FV('(2)Dev.-Inv. &amp; Lender Input'!$E$27/'(2)Dev.-Inv. &amp; Lender Input'!$E$29,J34*'(2)Dev.-Inv. &amp; Lender Input'!$E$29,'(9)Annual Cash Flow Projection'!J64/'(2)Dev.-Inv. &amp; Lender Input'!$E$29,-'(5)Project Summary'!$E$43,0))</f>
        <v>35799649.166154027</v>
      </c>
      <c r="K71" s="5">
        <f>IF('(2)Dev.-Inv. &amp; Lender Input'!$E$29=0,0,FV('(2)Dev.-Inv. &amp; Lender Input'!$E$27/'(2)Dev.-Inv. &amp; Lender Input'!$E$29,K34*'(2)Dev.-Inv. &amp; Lender Input'!$E$29,'(9)Annual Cash Flow Projection'!K64/'(2)Dev.-Inv. &amp; Lender Input'!$E$29,-'(5)Project Summary'!$E$43,0))</f>
        <v>35007392.724457808</v>
      </c>
      <c r="L71" s="5">
        <f>IF('(2)Dev.-Inv. &amp; Lender Input'!$E$29=0,0,FV('(2)Dev.-Inv. &amp; Lender Input'!$E$27/'(2)Dev.-Inv. &amp; Lender Input'!$E$29,L34*'(2)Dev.-Inv. &amp; Lender Input'!$E$29,'(9)Annual Cash Flow Projection'!L64/'(2)Dev.-Inv. &amp; Lender Input'!$E$29,-'(5)Project Summary'!$E$43,0))</f>
        <v>34174602.939595386</v>
      </c>
      <c r="M71" s="5">
        <f>IF('(2)Dev.-Inv. &amp; Lender Input'!$E$29=0,0,FV('(2)Dev.-Inv. &amp; Lender Input'!$E$27/'(2)Dev.-Inv. &amp; Lender Input'!$E$29,M34*'(2)Dev.-Inv. &amp; Lender Input'!$E$29,'(9)Annual Cash Flow Projection'!M64/'(2)Dev.-Inv. &amp; Lender Input'!$E$29,-'(5)Project Summary'!$E$43,0))</f>
        <v>33299206.048802871</v>
      </c>
      <c r="N71" s="5">
        <f>IF('(2)Dev.-Inv. &amp; Lender Input'!$E$29=0,0,FV('(2)Dev.-Inv. &amp; Lender Input'!$E$27/'(2)Dev.-Inv. &amp; Lender Input'!$E$29,N34*'(2)Dev.-Inv. &amp; Lender Input'!$E$29,'(9)Annual Cash Flow Projection'!N64/'(2)Dev.-Inv. &amp; Lender Input'!$E$29,-'(5)Project Summary'!$E$43,0))</f>
        <v>32379022.191677656</v>
      </c>
      <c r="P71" s="1">
        <v>3</v>
      </c>
    </row>
    <row r="72" spans="4:16" hidden="1" x14ac:dyDescent="0.3">
      <c r="D72" s="1" t="s">
        <v>229</v>
      </c>
      <c r="E72" s="5">
        <f>E69-E70-E71</f>
        <v>27424223.929456592</v>
      </c>
      <c r="F72" s="5">
        <f t="shared" ref="F72:N72" si="2">F69-F70-F71</f>
        <v>29707554.419339627</v>
      </c>
      <c r="G72" s="5">
        <f t="shared" si="2"/>
        <v>32064608.708705343</v>
      </c>
      <c r="H72" s="5">
        <f t="shared" si="2"/>
        <v>34497002.684677571</v>
      </c>
      <c r="I72" s="5">
        <f t="shared" si="2"/>
        <v>37008394.906232208</v>
      </c>
      <c r="J72" s="5">
        <f t="shared" si="2"/>
        <v>39600570.833845973</v>
      </c>
      <c r="K72" s="5">
        <f t="shared" si="2"/>
        <v>42278347.275542192</v>
      </c>
      <c r="L72" s="5">
        <f t="shared" si="2"/>
        <v>45043697.060404614</v>
      </c>
      <c r="M72" s="5">
        <f t="shared" si="2"/>
        <v>47898693.951197132</v>
      </c>
      <c r="N72" s="5">
        <f t="shared" si="2"/>
        <v>50849437.80832234</v>
      </c>
      <c r="P72" s="1">
        <v>4</v>
      </c>
    </row>
    <row r="73" spans="4:16" hidden="1" x14ac:dyDescent="0.3">
      <c r="P73" s="1">
        <v>5</v>
      </c>
    </row>
    <row r="74" spans="4:16" hidden="1" x14ac:dyDescent="0.3">
      <c r="E74" s="5">
        <f ca="1">E14-E21</f>
        <v>20608240</v>
      </c>
      <c r="P74" s="1">
        <v>6</v>
      </c>
    </row>
    <row r="75" spans="4:16" hidden="1" x14ac:dyDescent="0.3">
      <c r="E75" s="1">
        <v>1</v>
      </c>
      <c r="F75" s="1">
        <v>2</v>
      </c>
      <c r="G75" s="1">
        <v>3</v>
      </c>
      <c r="H75" s="1">
        <v>4</v>
      </c>
      <c r="I75" s="1">
        <v>5</v>
      </c>
      <c r="J75" s="1">
        <v>6</v>
      </c>
      <c r="K75" s="1">
        <v>7</v>
      </c>
      <c r="L75" s="1">
        <v>8</v>
      </c>
      <c r="M75" s="1">
        <v>9</v>
      </c>
      <c r="N75" s="1">
        <v>10</v>
      </c>
      <c r="P75" s="1">
        <v>7</v>
      </c>
    </row>
    <row r="76" spans="4:16" hidden="1" x14ac:dyDescent="0.3">
      <c r="D76" s="1">
        <v>0</v>
      </c>
      <c r="E76" s="5">
        <f ca="1">-(E14-E21)</f>
        <v>-20608240</v>
      </c>
      <c r="F76" s="5">
        <f ca="1">E76</f>
        <v>-20608240</v>
      </c>
      <c r="G76" s="5">
        <f t="shared" ref="G76:N77" ca="1" si="3">F76</f>
        <v>-20608240</v>
      </c>
      <c r="H76" s="5">
        <f t="shared" ca="1" si="3"/>
        <v>-20608240</v>
      </c>
      <c r="I76" s="5">
        <f t="shared" ca="1" si="3"/>
        <v>-20608240</v>
      </c>
      <c r="J76" s="5">
        <f t="shared" ca="1" si="3"/>
        <v>-20608240</v>
      </c>
      <c r="K76" s="5">
        <f t="shared" ca="1" si="3"/>
        <v>-20608240</v>
      </c>
      <c r="L76" s="5">
        <f t="shared" ca="1" si="3"/>
        <v>-20608240</v>
      </c>
      <c r="M76" s="5">
        <f t="shared" ca="1" si="3"/>
        <v>-20608240</v>
      </c>
      <c r="N76" s="5">
        <f t="shared" ca="1" si="3"/>
        <v>-20608240</v>
      </c>
      <c r="P76" s="1">
        <v>8</v>
      </c>
    </row>
    <row r="77" spans="4:16" hidden="1" x14ac:dyDescent="0.3">
      <c r="D77" s="1">
        <v>1</v>
      </c>
      <c r="E77" s="5">
        <f>'(9)Annual Cash Flow Projection'!E65+E72</f>
        <v>28840657.346382048</v>
      </c>
      <c r="F77" s="192">
        <f>'(9)Annual Cash Flow Projection'!$E$65</f>
        <v>1416433.416925455</v>
      </c>
      <c r="G77" s="5">
        <f>F77</f>
        <v>1416433.416925455</v>
      </c>
      <c r="H77" s="5">
        <f t="shared" si="3"/>
        <v>1416433.416925455</v>
      </c>
      <c r="I77" s="5">
        <f t="shared" si="3"/>
        <v>1416433.416925455</v>
      </c>
      <c r="J77" s="5">
        <f t="shared" si="3"/>
        <v>1416433.416925455</v>
      </c>
      <c r="K77" s="5">
        <f t="shared" si="3"/>
        <v>1416433.416925455</v>
      </c>
      <c r="L77" s="5">
        <f t="shared" si="3"/>
        <v>1416433.416925455</v>
      </c>
      <c r="M77" s="5">
        <f t="shared" si="3"/>
        <v>1416433.416925455</v>
      </c>
      <c r="N77" s="5">
        <f t="shared" si="3"/>
        <v>1416433.416925455</v>
      </c>
      <c r="P77" s="1">
        <v>9</v>
      </c>
    </row>
    <row r="78" spans="4:16" hidden="1" x14ac:dyDescent="0.3">
      <c r="D78" s="1">
        <v>2</v>
      </c>
      <c r="E78" s="5">
        <v>0</v>
      </c>
      <c r="F78" s="5">
        <f>'(9)Annual Cash Flow Projection'!F65+F72</f>
        <v>31223504.836265083</v>
      </c>
      <c r="G78" s="192">
        <f>'(9)Annual Cash Flow Projection'!$F$65</f>
        <v>1515950.416925455</v>
      </c>
      <c r="H78" s="5">
        <f t="shared" ref="H78" si="4">G78</f>
        <v>1515950.416925455</v>
      </c>
      <c r="I78" s="5">
        <f t="shared" ref="I78:I79" si="5">H78</f>
        <v>1515950.416925455</v>
      </c>
      <c r="J78" s="5">
        <f t="shared" ref="J78:J80" si="6">I78</f>
        <v>1515950.416925455</v>
      </c>
      <c r="K78" s="5">
        <f t="shared" ref="K78:K81" si="7">J78</f>
        <v>1515950.416925455</v>
      </c>
      <c r="L78" s="5">
        <f t="shared" ref="L78:L82" si="8">K78</f>
        <v>1515950.416925455</v>
      </c>
      <c r="M78" s="5">
        <f t="shared" ref="M78:M83" si="9">L78</f>
        <v>1515950.416925455</v>
      </c>
      <c r="N78" s="5">
        <f t="shared" ref="N78:N84" si="10">M78</f>
        <v>1515950.416925455</v>
      </c>
      <c r="P78" s="1">
        <v>10</v>
      </c>
    </row>
    <row r="79" spans="4:16" hidden="1" x14ac:dyDescent="0.3">
      <c r="D79" s="1">
        <v>3</v>
      </c>
      <c r="E79" s="5">
        <v>0</v>
      </c>
      <c r="F79" s="5">
        <v>0</v>
      </c>
      <c r="G79" s="5">
        <f>'(9)Annual Cash Flow Projection'!G65+G72</f>
        <v>33682564.0506308</v>
      </c>
      <c r="H79" s="192">
        <f>'(9)Annual Cash Flow Projection'!$G$65</f>
        <v>1617955.3419254548</v>
      </c>
      <c r="I79" s="5">
        <f t="shared" si="5"/>
        <v>1617955.3419254548</v>
      </c>
      <c r="J79" s="5">
        <f t="shared" si="6"/>
        <v>1617955.3419254548</v>
      </c>
      <c r="K79" s="5">
        <f t="shared" si="7"/>
        <v>1617955.3419254548</v>
      </c>
      <c r="L79" s="5">
        <f t="shared" si="8"/>
        <v>1617955.3419254548</v>
      </c>
      <c r="M79" s="5">
        <f t="shared" si="9"/>
        <v>1617955.3419254548</v>
      </c>
      <c r="N79" s="5">
        <f t="shared" si="10"/>
        <v>1617955.3419254548</v>
      </c>
    </row>
    <row r="80" spans="4:16" hidden="1" x14ac:dyDescent="0.3">
      <c r="D80" s="1">
        <v>4</v>
      </c>
      <c r="E80" s="5">
        <v>0</v>
      </c>
      <c r="F80" s="5">
        <v>0</v>
      </c>
      <c r="G80" s="5">
        <v>0</v>
      </c>
      <c r="H80" s="5">
        <f>'(9)Annual Cash Flow Projection'!H65+H72</f>
        <v>36219513.074728027</v>
      </c>
      <c r="I80" s="192">
        <f>'(9)Annual Cash Flow Projection'!$H$65</f>
        <v>1722510.3900504545</v>
      </c>
      <c r="J80" s="5">
        <f t="shared" si="6"/>
        <v>1722510.3900504545</v>
      </c>
      <c r="K80" s="5">
        <f t="shared" si="7"/>
        <v>1722510.3900504545</v>
      </c>
      <c r="L80" s="5">
        <f t="shared" si="8"/>
        <v>1722510.3900504545</v>
      </c>
      <c r="M80" s="5">
        <f t="shared" si="9"/>
        <v>1722510.3900504545</v>
      </c>
      <c r="N80" s="5">
        <f t="shared" si="10"/>
        <v>1722510.3900504545</v>
      </c>
    </row>
    <row r="81" spans="4:14" hidden="1" x14ac:dyDescent="0.3">
      <c r="D81" s="1">
        <v>5</v>
      </c>
      <c r="E81" s="5">
        <v>0</v>
      </c>
      <c r="F81" s="5">
        <v>0</v>
      </c>
      <c r="G81" s="5">
        <v>0</v>
      </c>
      <c r="H81" s="5">
        <v>0</v>
      </c>
      <c r="I81" s="5">
        <f>'(9)Annual Cash Flow Projection'!I65+I72</f>
        <v>38838074.22061079</v>
      </c>
      <c r="J81" s="192">
        <f>'(9)Annual Cash Flow Projection'!$I$65</f>
        <v>1829679.3143785796</v>
      </c>
      <c r="K81" s="5">
        <f t="shared" si="7"/>
        <v>1829679.3143785796</v>
      </c>
      <c r="L81" s="5">
        <f t="shared" si="8"/>
        <v>1829679.3143785796</v>
      </c>
      <c r="M81" s="5">
        <f t="shared" si="9"/>
        <v>1829679.3143785796</v>
      </c>
      <c r="N81" s="5">
        <f t="shared" si="10"/>
        <v>1829679.3143785796</v>
      </c>
    </row>
    <row r="82" spans="4:14" hidden="1" x14ac:dyDescent="0.3">
      <c r="D82" s="1">
        <v>6</v>
      </c>
      <c r="E82" s="5">
        <v>0</v>
      </c>
      <c r="F82" s="5">
        <v>0</v>
      </c>
      <c r="G82" s="5">
        <v>0</v>
      </c>
      <c r="H82" s="5">
        <v>0</v>
      </c>
      <c r="I82" s="5">
        <v>0</v>
      </c>
      <c r="J82" s="5">
        <f>'(9)Annual Cash Flow Projection'!J65+J72</f>
        <v>41540098.295660883</v>
      </c>
      <c r="K82" s="192">
        <f>'(9)Annual Cash Flow Projection'!$J$65</f>
        <v>1939527.4618149078</v>
      </c>
      <c r="L82" s="5">
        <f t="shared" si="8"/>
        <v>1939527.4618149078</v>
      </c>
      <c r="M82" s="5">
        <f t="shared" si="9"/>
        <v>1939527.4618149078</v>
      </c>
      <c r="N82" s="5">
        <f t="shared" si="10"/>
        <v>1939527.4618149078</v>
      </c>
    </row>
    <row r="83" spans="4:14" hidden="1" x14ac:dyDescent="0.3">
      <c r="D83" s="1">
        <v>7</v>
      </c>
      <c r="E83" s="5">
        <v>0</v>
      </c>
      <c r="F83" s="5">
        <v>0</v>
      </c>
      <c r="G83" s="5">
        <v>0</v>
      </c>
      <c r="H83" s="5">
        <v>0</v>
      </c>
      <c r="I83" s="5">
        <v>0</v>
      </c>
      <c r="J83" s="5">
        <v>0</v>
      </c>
      <c r="K83" s="5">
        <f>'(9)Annual Cash Flow Projection'!K65+K72</f>
        <v>44330469.088479333</v>
      </c>
      <c r="L83" s="192">
        <f>'(9)Annual Cash Flow Projection'!$K$65</f>
        <v>2052121.8129371428</v>
      </c>
      <c r="M83" s="5">
        <f t="shared" si="9"/>
        <v>2052121.8129371428</v>
      </c>
      <c r="N83" s="5">
        <f t="shared" si="10"/>
        <v>2052121.8129371428</v>
      </c>
    </row>
    <row r="84" spans="4:14" hidden="1" x14ac:dyDescent="0.3">
      <c r="D84" s="1">
        <v>8</v>
      </c>
      <c r="E84" s="5">
        <v>0</v>
      </c>
      <c r="F84" s="5">
        <v>0</v>
      </c>
      <c r="G84" s="5">
        <v>0</v>
      </c>
      <c r="H84" s="5">
        <v>0</v>
      </c>
      <c r="I84" s="5">
        <v>0</v>
      </c>
      <c r="J84" s="5">
        <v>0</v>
      </c>
      <c r="K84" s="5">
        <v>0</v>
      </c>
      <c r="L84" s="5">
        <f>'(9)Annual Cash Flow Projection'!L65+L72</f>
        <v>47211228.083242051</v>
      </c>
      <c r="M84" s="192">
        <f>'(9)Annual Cash Flow Projection'!$L$65</f>
        <v>2167531.0228374344</v>
      </c>
      <c r="N84" s="5">
        <f t="shared" si="10"/>
        <v>2167531.0228374344</v>
      </c>
    </row>
    <row r="85" spans="4:14" hidden="1" x14ac:dyDescent="0.3">
      <c r="D85" s="1">
        <v>9</v>
      </c>
      <c r="E85" s="5">
        <v>0</v>
      </c>
      <c r="F85" s="5">
        <v>0</v>
      </c>
      <c r="G85" s="5">
        <v>0</v>
      </c>
      <c r="H85" s="5">
        <v>0</v>
      </c>
      <c r="I85" s="5">
        <v>0</v>
      </c>
      <c r="J85" s="5">
        <v>0</v>
      </c>
      <c r="K85" s="5">
        <v>0</v>
      </c>
      <c r="L85" s="5">
        <v>0</v>
      </c>
      <c r="M85" s="5">
        <f>'(9)Annual Cash Flow Projection'!M65+M72</f>
        <v>50184519.414182365</v>
      </c>
      <c r="N85" s="192">
        <f>'(9)Annual Cash Flow Projection'!$M$65</f>
        <v>2285825.4629852339</v>
      </c>
    </row>
    <row r="86" spans="4:14" hidden="1" x14ac:dyDescent="0.3">
      <c r="D86" s="1">
        <v>10</v>
      </c>
      <c r="E86" s="5">
        <v>0</v>
      </c>
      <c r="F86" s="5">
        <v>0</v>
      </c>
      <c r="G86" s="5">
        <v>0</v>
      </c>
      <c r="H86" s="5">
        <v>0</v>
      </c>
      <c r="I86" s="5">
        <v>0</v>
      </c>
      <c r="J86" s="5">
        <v>0</v>
      </c>
      <c r="K86" s="5">
        <v>0</v>
      </c>
      <c r="L86" s="5">
        <v>0</v>
      </c>
      <c r="M86" s="5">
        <v>0</v>
      </c>
      <c r="N86" s="5">
        <f>'(9)Annual Cash Flow Projection'!N65+N72</f>
        <v>53256515.072459072</v>
      </c>
    </row>
    <row r="87" spans="4:14" hidden="1" x14ac:dyDescent="0.3"/>
    <row r="88" spans="4:14" hidden="1" x14ac:dyDescent="0.3">
      <c r="E88" s="193">
        <f ca="1">IF(E69=0,0,IRR(E76:E86))</f>
        <v>0.39947212117007846</v>
      </c>
      <c r="F88" s="193">
        <f t="shared" ref="F88:N88" ca="1" si="11">IF(F69=0,0,IRR(F76:F86))</f>
        <v>0.26573854950911002</v>
      </c>
      <c r="G88" s="193">
        <f t="shared" ca="1" si="11"/>
        <v>0.22250834056862723</v>
      </c>
      <c r="H88" s="193">
        <f t="shared" ca="1" si="11"/>
        <v>0.20044514430319404</v>
      </c>
      <c r="I88" s="193">
        <f t="shared" ca="1" si="11"/>
        <v>0.18671485793112752</v>
      </c>
      <c r="J88" s="193">
        <f t="shared" ca="1" si="11"/>
        <v>0.17715206038280207</v>
      </c>
      <c r="K88" s="193">
        <f t="shared" ca="1" si="11"/>
        <v>0.17000553039106059</v>
      </c>
      <c r="L88" s="193">
        <f t="shared" ca="1" si="11"/>
        <v>0.16439391633792133</v>
      </c>
      <c r="M88" s="193">
        <f t="shared" ca="1" si="11"/>
        <v>0.15982786148809569</v>
      </c>
      <c r="N88" s="193">
        <f t="shared" ca="1" si="11"/>
        <v>0.156019272069295</v>
      </c>
    </row>
    <row r="89" spans="4:14" x14ac:dyDescent="0.3">
      <c r="E89" s="193"/>
      <c r="F89" s="193"/>
      <c r="G89" s="193"/>
      <c r="H89" s="193"/>
      <c r="I89" s="193"/>
      <c r="J89" s="193"/>
      <c r="K89" s="193"/>
      <c r="L89" s="193"/>
      <c r="M89" s="193"/>
      <c r="N89" s="193"/>
    </row>
  </sheetData>
  <sheetProtection sheet="1" objects="1" scenarios="1" selectLockedCells="1"/>
  <mergeCells count="8">
    <mergeCell ref="C34:D34"/>
    <mergeCell ref="I3:N5"/>
    <mergeCell ref="C7:J9"/>
    <mergeCell ref="C33:N33"/>
    <mergeCell ref="C28:E28"/>
    <mergeCell ref="C23:E23"/>
    <mergeCell ref="C16:E16"/>
    <mergeCell ref="C10:E10"/>
  </mergeCells>
  <printOptions horizontalCentered="1" verticalCentered="1"/>
  <pageMargins left="0" right="0" top="0" bottom="0" header="0" footer="0"/>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D14D-8625-4716-B846-57CCCB2748BB}">
  <sheetPr>
    <tabColor rgb="FF800000"/>
  </sheetPr>
  <dimension ref="B1:Q68"/>
  <sheetViews>
    <sheetView showGridLines="0" showRowColHeaders="0" zoomScaleNormal="100" workbookViewId="0"/>
  </sheetViews>
  <sheetFormatPr defaultColWidth="10.36328125" defaultRowHeight="15.5" x14ac:dyDescent="0.35"/>
  <cols>
    <col min="1" max="1" width="3.453125" style="63" customWidth="1"/>
    <col min="2" max="2" width="4.36328125" style="63" customWidth="1"/>
    <col min="3" max="3" width="2.453125" style="63" customWidth="1"/>
    <col min="4" max="12" width="10.36328125" style="63" customWidth="1"/>
    <col min="13" max="15" width="10.36328125" style="63"/>
    <col min="16" max="16" width="2.453125" style="63" customWidth="1"/>
    <col min="17" max="17" width="4.36328125" style="63" customWidth="1"/>
    <col min="18" max="16384" width="10.36328125" style="63"/>
  </cols>
  <sheetData>
    <row r="1" spans="2:17" ht="16" thickBot="1" x14ac:dyDescent="0.4"/>
    <row r="2" spans="2:17" ht="15" customHeight="1" thickTop="1" x14ac:dyDescent="0.35">
      <c r="B2" s="64"/>
      <c r="C2" s="65"/>
      <c r="D2" s="65"/>
      <c r="E2" s="65"/>
      <c r="F2" s="65"/>
      <c r="G2" s="65"/>
      <c r="H2" s="65"/>
      <c r="I2" s="65"/>
      <c r="J2" s="65"/>
      <c r="K2" s="65"/>
      <c r="L2" s="65"/>
      <c r="M2" s="65"/>
      <c r="N2" s="65"/>
      <c r="O2" s="65"/>
      <c r="P2" s="65"/>
      <c r="Q2" s="66"/>
    </row>
    <row r="3" spans="2:17" ht="15" customHeight="1" x14ac:dyDescent="0.35">
      <c r="B3" s="67"/>
      <c r="C3" s="68"/>
      <c r="D3" s="68"/>
      <c r="E3" s="68"/>
      <c r="F3" s="68"/>
      <c r="G3" s="68"/>
      <c r="H3" s="68"/>
      <c r="I3" s="68"/>
      <c r="J3" s="68"/>
      <c r="K3" s="194" t="s">
        <v>266</v>
      </c>
      <c r="L3" s="194"/>
      <c r="M3" s="194"/>
      <c r="N3" s="194"/>
      <c r="O3" s="194"/>
      <c r="P3" s="194"/>
      <c r="Q3" s="70"/>
    </row>
    <row r="4" spans="2:17" ht="15" customHeight="1" x14ac:dyDescent="0.35">
      <c r="B4" s="67"/>
      <c r="C4" s="68"/>
      <c r="D4" s="68"/>
      <c r="E4" s="68"/>
      <c r="F4" s="68"/>
      <c r="G4" s="68"/>
      <c r="H4" s="68"/>
      <c r="I4" s="68"/>
      <c r="J4" s="68"/>
      <c r="K4" s="194"/>
      <c r="L4" s="194"/>
      <c r="M4" s="194"/>
      <c r="N4" s="194"/>
      <c r="O4" s="194"/>
      <c r="P4" s="194"/>
      <c r="Q4" s="70"/>
    </row>
    <row r="5" spans="2:17" ht="15" customHeight="1" x14ac:dyDescent="0.35">
      <c r="B5" s="67"/>
      <c r="C5" s="68"/>
      <c r="D5" s="68"/>
      <c r="E5" s="68"/>
      <c r="F5" s="68"/>
      <c r="G5" s="68"/>
      <c r="H5" s="68"/>
      <c r="I5" s="68"/>
      <c r="J5" s="68"/>
      <c r="K5" s="194"/>
      <c r="L5" s="194"/>
      <c r="M5" s="194"/>
      <c r="N5" s="194"/>
      <c r="O5" s="194"/>
      <c r="P5" s="194"/>
      <c r="Q5" s="70"/>
    </row>
    <row r="6" spans="2:17" ht="15" customHeight="1" thickBot="1" x14ac:dyDescent="0.4">
      <c r="B6" s="71"/>
      <c r="C6" s="72"/>
      <c r="D6" s="72"/>
      <c r="E6" s="72"/>
      <c r="F6" s="72"/>
      <c r="G6" s="72"/>
      <c r="H6" s="72"/>
      <c r="I6" s="72"/>
      <c r="J6" s="72"/>
      <c r="K6" s="72"/>
      <c r="L6" s="72"/>
      <c r="M6" s="72"/>
      <c r="N6" s="72"/>
      <c r="O6" s="72"/>
      <c r="P6" s="72"/>
      <c r="Q6" s="73"/>
    </row>
    <row r="7" spans="2:17" ht="15" customHeight="1" thickTop="1" x14ac:dyDescent="0.35">
      <c r="B7" s="74"/>
      <c r="C7" s="75"/>
      <c r="D7" s="75"/>
      <c r="E7" s="75"/>
      <c r="F7" s="75"/>
      <c r="G7" s="75"/>
      <c r="H7" s="75"/>
      <c r="I7" s="75"/>
      <c r="J7" s="75"/>
      <c r="K7" s="75"/>
      <c r="L7" s="75"/>
      <c r="M7" s="75"/>
      <c r="N7" s="75"/>
      <c r="O7" s="75"/>
      <c r="P7" s="75"/>
      <c r="Q7" s="76"/>
    </row>
    <row r="8" spans="2:17" ht="15" customHeight="1" x14ac:dyDescent="0.35">
      <c r="B8" s="77"/>
      <c r="Q8" s="78"/>
    </row>
    <row r="9" spans="2:17" ht="15" customHeight="1" x14ac:dyDescent="0.35">
      <c r="B9" s="77"/>
      <c r="D9" s="198" t="s">
        <v>267</v>
      </c>
      <c r="E9" s="198"/>
      <c r="F9" s="198"/>
      <c r="G9" s="198"/>
      <c r="H9" s="198" t="s">
        <v>268</v>
      </c>
      <c r="I9" s="198"/>
      <c r="J9" s="198"/>
      <c r="K9" s="198"/>
      <c r="L9" s="198"/>
      <c r="M9" s="198" t="s">
        <v>269</v>
      </c>
      <c r="N9" s="198"/>
      <c r="O9" s="198"/>
      <c r="Q9" s="78"/>
    </row>
    <row r="10" spans="2:17" ht="15" customHeight="1" x14ac:dyDescent="0.35">
      <c r="B10" s="77"/>
      <c r="D10" s="198"/>
      <c r="E10" s="198"/>
      <c r="F10" s="198"/>
      <c r="G10" s="198"/>
      <c r="H10" s="198"/>
      <c r="I10" s="198"/>
      <c r="J10" s="198"/>
      <c r="K10" s="198"/>
      <c r="L10" s="198"/>
      <c r="M10" s="198"/>
      <c r="N10" s="198"/>
      <c r="O10" s="198"/>
      <c r="Q10" s="78"/>
    </row>
    <row r="11" spans="2:17" ht="15" customHeight="1" x14ac:dyDescent="0.35">
      <c r="B11" s="77"/>
      <c r="Q11" s="78"/>
    </row>
    <row r="12" spans="2:17" ht="15" customHeight="1" x14ac:dyDescent="0.35">
      <c r="B12" s="77"/>
      <c r="D12" s="63" t="s">
        <v>252</v>
      </c>
      <c r="H12" s="63" t="s">
        <v>270</v>
      </c>
      <c r="M12" s="155" t="s">
        <v>263</v>
      </c>
      <c r="Q12" s="78"/>
    </row>
    <row r="13" spans="2:17" ht="15" customHeight="1" x14ac:dyDescent="0.35">
      <c r="B13" s="77"/>
      <c r="Q13" s="78"/>
    </row>
    <row r="14" spans="2:17" ht="15" customHeight="1" x14ac:dyDescent="0.35">
      <c r="B14" s="77"/>
      <c r="D14" s="63" t="s">
        <v>277</v>
      </c>
      <c r="H14" s="63" t="s">
        <v>266</v>
      </c>
      <c r="M14" s="155" t="s">
        <v>271</v>
      </c>
      <c r="Q14" s="78"/>
    </row>
    <row r="15" spans="2:17" ht="15" customHeight="1" x14ac:dyDescent="0.35">
      <c r="B15" s="77"/>
      <c r="Q15" s="78"/>
    </row>
    <row r="16" spans="2:17" ht="15" customHeight="1" x14ac:dyDescent="0.35">
      <c r="B16" s="77"/>
      <c r="D16" s="109">
        <v>2</v>
      </c>
      <c r="H16" s="63" t="s">
        <v>0</v>
      </c>
      <c r="M16" s="155" t="s">
        <v>278</v>
      </c>
      <c r="Q16" s="78"/>
    </row>
    <row r="17" spans="2:17" ht="15" customHeight="1" x14ac:dyDescent="0.35">
      <c r="B17" s="77"/>
      <c r="D17" s="109"/>
      <c r="Q17" s="78"/>
    </row>
    <row r="18" spans="2:17" ht="15" customHeight="1" x14ac:dyDescent="0.35">
      <c r="B18" s="77"/>
      <c r="D18" s="109">
        <f>D16+1</f>
        <v>3</v>
      </c>
      <c r="H18" s="63" t="s">
        <v>20</v>
      </c>
      <c r="M18" s="155" t="s">
        <v>279</v>
      </c>
      <c r="Q18" s="78"/>
    </row>
    <row r="19" spans="2:17" ht="15" customHeight="1" x14ac:dyDescent="0.35">
      <c r="B19" s="77"/>
      <c r="D19" s="109"/>
      <c r="Q19" s="78"/>
    </row>
    <row r="20" spans="2:17" ht="15" customHeight="1" x14ac:dyDescent="0.35">
      <c r="B20" s="77"/>
      <c r="D20" s="109">
        <f>D18+1</f>
        <v>4</v>
      </c>
      <c r="H20" s="63" t="s">
        <v>272</v>
      </c>
      <c r="M20" s="156" t="s">
        <v>280</v>
      </c>
      <c r="Q20" s="78"/>
    </row>
    <row r="21" spans="2:17" ht="15" customHeight="1" x14ac:dyDescent="0.35">
      <c r="B21" s="77"/>
      <c r="D21" s="109"/>
      <c r="Q21" s="78"/>
    </row>
    <row r="22" spans="2:17" ht="15" customHeight="1" x14ac:dyDescent="0.35">
      <c r="B22" s="77"/>
      <c r="D22" s="109">
        <f>D20+1</f>
        <v>5</v>
      </c>
      <c r="H22" s="63" t="s">
        <v>98</v>
      </c>
      <c r="M22" s="155" t="s">
        <v>281</v>
      </c>
      <c r="Q22" s="78"/>
    </row>
    <row r="23" spans="2:17" ht="15" customHeight="1" x14ac:dyDescent="0.35">
      <c r="B23" s="77"/>
      <c r="D23" s="109"/>
      <c r="Q23" s="78"/>
    </row>
    <row r="24" spans="2:17" ht="15" customHeight="1" x14ac:dyDescent="0.35">
      <c r="B24" s="77"/>
      <c r="D24" s="109">
        <f>D22+1</f>
        <v>6</v>
      </c>
      <c r="H24" s="63" t="s">
        <v>273</v>
      </c>
      <c r="M24" s="155" t="s">
        <v>282</v>
      </c>
      <c r="Q24" s="78"/>
    </row>
    <row r="25" spans="2:17" ht="15" customHeight="1" x14ac:dyDescent="0.35">
      <c r="B25" s="77"/>
      <c r="D25" s="109"/>
      <c r="Q25" s="78"/>
    </row>
    <row r="26" spans="2:17" ht="15" customHeight="1" x14ac:dyDescent="0.35">
      <c r="B26" s="77"/>
      <c r="D26" s="109">
        <f>D24+1</f>
        <v>7</v>
      </c>
      <c r="H26" s="199" t="s">
        <v>274</v>
      </c>
      <c r="I26" s="199"/>
      <c r="J26" s="199"/>
      <c r="K26" s="199"/>
      <c r="L26" s="199"/>
      <c r="M26" s="155" t="s">
        <v>283</v>
      </c>
      <c r="Q26" s="78"/>
    </row>
    <row r="27" spans="2:17" ht="15" customHeight="1" x14ac:dyDescent="0.35">
      <c r="B27" s="77"/>
      <c r="D27" s="109"/>
      <c r="H27" s="199"/>
      <c r="I27" s="199"/>
      <c r="J27" s="199"/>
      <c r="K27" s="199"/>
      <c r="L27" s="199"/>
      <c r="Q27" s="78"/>
    </row>
    <row r="28" spans="2:17" ht="15" customHeight="1" x14ac:dyDescent="0.35">
      <c r="B28" s="77"/>
      <c r="D28" s="109"/>
      <c r="H28" s="106"/>
      <c r="I28" s="106"/>
      <c r="J28" s="106"/>
      <c r="K28" s="106"/>
      <c r="L28" s="106"/>
      <c r="Q28" s="78"/>
    </row>
    <row r="29" spans="2:17" ht="15" customHeight="1" x14ac:dyDescent="0.35">
      <c r="B29" s="77"/>
      <c r="D29" s="109">
        <f>D26+1</f>
        <v>8</v>
      </c>
      <c r="H29" s="199" t="s">
        <v>275</v>
      </c>
      <c r="I29" s="199"/>
      <c r="J29" s="199"/>
      <c r="K29" s="199"/>
      <c r="L29" s="199"/>
      <c r="M29" s="155" t="s">
        <v>284</v>
      </c>
      <c r="N29" s="105"/>
      <c r="O29" s="105"/>
      <c r="P29" s="105"/>
      <c r="Q29" s="78"/>
    </row>
    <row r="30" spans="2:17" ht="15" customHeight="1" x14ac:dyDescent="0.35">
      <c r="B30" s="77"/>
      <c r="D30" s="109"/>
      <c r="H30" s="199"/>
      <c r="I30" s="199"/>
      <c r="J30" s="199"/>
      <c r="K30" s="199"/>
      <c r="L30" s="199"/>
      <c r="N30" s="105"/>
      <c r="O30" s="105"/>
      <c r="P30" s="105"/>
      <c r="Q30" s="78"/>
    </row>
    <row r="31" spans="2:17" ht="15" customHeight="1" x14ac:dyDescent="0.35">
      <c r="B31" s="77"/>
      <c r="D31" s="109"/>
      <c r="H31" s="106"/>
      <c r="I31" s="106"/>
      <c r="J31" s="106"/>
      <c r="K31" s="106"/>
      <c r="L31" s="106"/>
      <c r="N31" s="105"/>
      <c r="O31" s="105"/>
      <c r="P31" s="105"/>
      <c r="Q31" s="78"/>
    </row>
    <row r="32" spans="2:17" ht="15" customHeight="1" x14ac:dyDescent="0.35">
      <c r="B32" s="77"/>
      <c r="D32" s="109">
        <f>D29+1</f>
        <v>9</v>
      </c>
      <c r="H32" s="199" t="s">
        <v>205</v>
      </c>
      <c r="I32" s="199"/>
      <c r="J32" s="199"/>
      <c r="K32" s="199"/>
      <c r="L32" s="199"/>
      <c r="M32" s="157" t="s">
        <v>285</v>
      </c>
      <c r="Q32" s="78"/>
    </row>
    <row r="33" spans="2:17" ht="15" customHeight="1" x14ac:dyDescent="0.35">
      <c r="B33" s="77"/>
      <c r="D33" s="109"/>
      <c r="H33" s="106"/>
      <c r="I33" s="106"/>
      <c r="J33" s="106"/>
      <c r="K33" s="106"/>
      <c r="L33" s="107"/>
      <c r="M33" s="105"/>
      <c r="Q33" s="78"/>
    </row>
    <row r="34" spans="2:17" ht="15" customHeight="1" x14ac:dyDescent="0.35">
      <c r="B34" s="77"/>
      <c r="D34" s="109">
        <f>D32+1</f>
        <v>10</v>
      </c>
      <c r="H34" s="199" t="s">
        <v>276</v>
      </c>
      <c r="I34" s="199"/>
      <c r="J34" s="199"/>
      <c r="K34" s="199"/>
      <c r="L34" s="199"/>
      <c r="M34" s="157" t="s">
        <v>286</v>
      </c>
      <c r="Q34" s="78"/>
    </row>
    <row r="35" spans="2:17" ht="15" customHeight="1" x14ac:dyDescent="0.35">
      <c r="B35" s="77"/>
      <c r="D35" s="109"/>
      <c r="Q35" s="78"/>
    </row>
    <row r="36" spans="2:17" ht="15" customHeight="1" x14ac:dyDescent="0.35">
      <c r="B36" s="77"/>
      <c r="D36" s="109"/>
      <c r="Q36" s="78"/>
    </row>
    <row r="37" spans="2:17" ht="15" customHeight="1" x14ac:dyDescent="0.35">
      <c r="B37" s="77"/>
      <c r="D37" s="109"/>
      <c r="Q37" s="78"/>
    </row>
    <row r="38" spans="2:17" ht="15" customHeight="1" x14ac:dyDescent="0.35">
      <c r="B38" s="77"/>
      <c r="D38" s="109"/>
      <c r="Q38" s="78"/>
    </row>
    <row r="39" spans="2:17" ht="15" customHeight="1" x14ac:dyDescent="0.35">
      <c r="B39" s="77"/>
      <c r="D39" s="201"/>
      <c r="E39" s="201"/>
      <c r="F39" s="201"/>
      <c r="G39" s="201"/>
      <c r="Q39" s="78"/>
    </row>
    <row r="40" spans="2:17" ht="15" customHeight="1" x14ac:dyDescent="0.35">
      <c r="B40" s="77"/>
      <c r="D40" s="108"/>
      <c r="E40" s="108"/>
      <c r="F40" s="108"/>
      <c r="G40" s="108"/>
      <c r="Q40" s="78"/>
    </row>
    <row r="41" spans="2:17" ht="15" customHeight="1" x14ac:dyDescent="0.35">
      <c r="B41" s="77"/>
      <c r="D41" s="108"/>
      <c r="E41" s="108"/>
      <c r="F41" s="108"/>
      <c r="G41" s="108"/>
      <c r="Q41" s="78"/>
    </row>
    <row r="42" spans="2:17" ht="15" customHeight="1" x14ac:dyDescent="0.35">
      <c r="B42" s="77"/>
      <c r="D42" s="108"/>
      <c r="E42" s="108"/>
      <c r="F42" s="108"/>
      <c r="G42" s="108"/>
      <c r="Q42" s="78"/>
    </row>
    <row r="43" spans="2:17" ht="15" customHeight="1" x14ac:dyDescent="0.35">
      <c r="B43" s="77"/>
      <c r="Q43" s="78"/>
    </row>
    <row r="44" spans="2:17" ht="15" customHeight="1" x14ac:dyDescent="0.35">
      <c r="B44" s="77"/>
      <c r="Q44" s="78"/>
    </row>
    <row r="45" spans="2:17" ht="15" customHeight="1" x14ac:dyDescent="0.35">
      <c r="B45" s="77"/>
      <c r="Q45" s="78"/>
    </row>
    <row r="46" spans="2:17" ht="15" customHeight="1" x14ac:dyDescent="0.35">
      <c r="B46" s="77"/>
      <c r="Q46" s="78"/>
    </row>
    <row r="47" spans="2:17" ht="15" customHeight="1" x14ac:dyDescent="0.35">
      <c r="B47" s="77"/>
      <c r="Q47" s="78"/>
    </row>
    <row r="48" spans="2:17" ht="15" customHeight="1" x14ac:dyDescent="0.35">
      <c r="B48" s="77"/>
      <c r="C48" s="89"/>
      <c r="Q48" s="78"/>
    </row>
    <row r="49" spans="2:17" ht="15" customHeight="1" x14ac:dyDescent="0.35">
      <c r="B49" s="77"/>
      <c r="C49" s="89"/>
      <c r="Q49" s="78"/>
    </row>
    <row r="50" spans="2:17" ht="15" customHeight="1" x14ac:dyDescent="0.35">
      <c r="B50" s="77"/>
      <c r="C50" s="89"/>
      <c r="Q50" s="78"/>
    </row>
    <row r="51" spans="2:17" ht="15" customHeight="1" x14ac:dyDescent="0.35">
      <c r="B51" s="77"/>
      <c r="C51" s="89"/>
      <c r="Q51" s="78"/>
    </row>
    <row r="52" spans="2:17" ht="15" customHeight="1" x14ac:dyDescent="0.35">
      <c r="B52" s="77"/>
      <c r="C52" s="89"/>
      <c r="Q52" s="78"/>
    </row>
    <row r="53" spans="2:17" ht="15" customHeight="1" x14ac:dyDescent="0.35">
      <c r="B53" s="77"/>
      <c r="C53" s="89"/>
      <c r="Q53" s="78"/>
    </row>
    <row r="54" spans="2:17" ht="15" customHeight="1" x14ac:dyDescent="0.35">
      <c r="B54" s="77"/>
      <c r="Q54" s="78"/>
    </row>
    <row r="55" spans="2:17" ht="15" customHeight="1" x14ac:dyDescent="0.35">
      <c r="B55" s="77"/>
      <c r="Q55" s="78"/>
    </row>
    <row r="56" spans="2:17" ht="15" customHeight="1" x14ac:dyDescent="0.35">
      <c r="B56" s="77"/>
      <c r="Q56" s="78"/>
    </row>
    <row r="57" spans="2:17" ht="15" customHeight="1" x14ac:dyDescent="0.35">
      <c r="B57" s="77"/>
      <c r="Q57" s="78"/>
    </row>
    <row r="58" spans="2:17" ht="15" customHeight="1" x14ac:dyDescent="0.35">
      <c r="B58" s="77"/>
      <c r="Q58" s="78"/>
    </row>
    <row r="59" spans="2:17" ht="15" customHeight="1" x14ac:dyDescent="0.35">
      <c r="B59" s="77"/>
      <c r="Q59" s="78"/>
    </row>
    <row r="60" spans="2:17" ht="15" customHeight="1" x14ac:dyDescent="0.35">
      <c r="B60" s="77"/>
      <c r="Q60" s="78"/>
    </row>
    <row r="61" spans="2:17" ht="15" customHeight="1" x14ac:dyDescent="0.35">
      <c r="B61" s="77"/>
      <c r="Q61" s="78"/>
    </row>
    <row r="62" spans="2:17" ht="15" customHeight="1" x14ac:dyDescent="0.35">
      <c r="B62" s="77"/>
      <c r="Q62" s="78"/>
    </row>
    <row r="63" spans="2:17" ht="15" customHeight="1" x14ac:dyDescent="0.35">
      <c r="B63" s="77"/>
      <c r="Q63" s="78"/>
    </row>
    <row r="64" spans="2:17" ht="15" customHeight="1" x14ac:dyDescent="0.35">
      <c r="B64" s="77"/>
      <c r="Q64" s="78"/>
    </row>
    <row r="65" spans="2:17" ht="15" customHeight="1" x14ac:dyDescent="0.35">
      <c r="B65" s="77"/>
      <c r="Q65" s="78"/>
    </row>
    <row r="66" spans="2:17" ht="15" customHeight="1" x14ac:dyDescent="0.35">
      <c r="B66" s="77"/>
      <c r="C66" s="63" t="str">
        <f>VERSION</f>
        <v>Version 9.0</v>
      </c>
      <c r="O66" s="200">
        <v>1</v>
      </c>
      <c r="P66" s="200"/>
      <c r="Q66" s="78"/>
    </row>
    <row r="67" spans="2:17" ht="15" customHeight="1" thickBot="1" x14ac:dyDescent="0.4">
      <c r="B67" s="91"/>
      <c r="C67" s="92"/>
      <c r="D67" s="92"/>
      <c r="E67" s="92"/>
      <c r="F67" s="92"/>
      <c r="G67" s="92"/>
      <c r="H67" s="92"/>
      <c r="I67" s="92"/>
      <c r="J67" s="92"/>
      <c r="K67" s="92"/>
      <c r="L67" s="92"/>
      <c r="M67" s="92"/>
      <c r="N67" s="92"/>
      <c r="O67" s="92"/>
      <c r="P67" s="92"/>
      <c r="Q67" s="93"/>
    </row>
    <row r="68" spans="2:17" ht="16" thickTop="1" x14ac:dyDescent="0.35"/>
  </sheetData>
  <sheetProtection sheet="1" objects="1" scenarios="1"/>
  <mergeCells count="10">
    <mergeCell ref="H29:L30"/>
    <mergeCell ref="O66:P66"/>
    <mergeCell ref="D39:G39"/>
    <mergeCell ref="H32:L32"/>
    <mergeCell ref="H34:L34"/>
    <mergeCell ref="K3:P5"/>
    <mergeCell ref="D9:G10"/>
    <mergeCell ref="H9:L10"/>
    <mergeCell ref="M9:O10"/>
    <mergeCell ref="H26:L27"/>
  </mergeCells>
  <hyperlinks>
    <hyperlink ref="M12" location="LICENSE" display="LICENSE" xr:uid="{76D02BAB-4065-4121-B7CB-61A153CE0EBA}"/>
    <hyperlink ref="M14" location="'(1) Tbl.Cnts'!Print_Area" display="(1) Tbl.Cnts" xr:uid="{9C671BBB-0F4F-4800-B333-B2E46054D936}"/>
    <hyperlink ref="M16" location="'(2)Dev.-Inv. &amp; Lender Input'!Print_Area" display="(2) Dev.-Inv. &amp; Lender Input" xr:uid="{0FD3831D-47B6-4C39-B6AF-9BC6BDB77CA9}"/>
    <hyperlink ref="M18" location="'(3)Development Budget Input'!Print_Area" display="(3) Development Budget Input" xr:uid="{BA5AC8DC-141E-465F-AC72-4A8C7803FBE8}"/>
    <hyperlink ref="M20" location="'(4)Income &amp; Expense Input'!Print_Area" display="(4) Income &amp; Expense Input" xr:uid="{620406D5-F19D-44C2-A09A-FB5F9C0F091C}"/>
    <hyperlink ref="M22" location="'(5)Project Summary'!Print_Area" display="(5) Project Summary" xr:uid="{9F636800-D198-4BEE-8FA8-5DD750EA1645}"/>
    <hyperlink ref="M24" location="'(6)Development Budget'!Print_Area" display="(6) Development Budget" xr:uid="{F217B7C3-A33B-4504-8DF3-1AAA61B34630}"/>
    <hyperlink ref="M26" location="'(7)Cost Mark-up Feasibility '!Print_Area" display="(7) Cost Mark-up Feasibility" xr:uid="{8A5E9CD1-AF10-4652-9C7D-FA674C72AAD5}"/>
    <hyperlink ref="M29" location="'(8)Rent Constant Feasibility'!Print_Area" display="(8) Rent Constant Feasibility" xr:uid="{AB32695E-AAD8-4631-8BBB-802DB0B3C72F}"/>
    <hyperlink ref="M32" location="'(9)Annual Cash Flow Projection'!Print_Area" display="(9) Annual Cash Flow Projection" xr:uid="{7A42068C-7589-4DA0-9A55-CEF0C56DAE4F}"/>
    <hyperlink ref="M34" location="'(10)Sale Proceeds-Ratios'!Print_Area" display="(10) Sale Proceeds-Ratios" xr:uid="{73749DB1-2D2C-4B93-B8A7-63C001A8886E}"/>
  </hyperlinks>
  <printOptions horizontalCentered="1" verticalCentered="1"/>
  <pageMargins left="0" right="0" top="0" bottom="0" header="0" footer="0"/>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51A-94CD-4F48-B471-962357EFC423}">
  <sheetPr>
    <tabColor rgb="FFC00000"/>
  </sheetPr>
  <dimension ref="B1:N73"/>
  <sheetViews>
    <sheetView showGridLines="0" showRowColHeaders="0" zoomScale="140" zoomScaleNormal="140" zoomScaleSheetLayoutView="100" workbookViewId="0">
      <selection activeCell="E28" sqref="E28:F28"/>
    </sheetView>
  </sheetViews>
  <sheetFormatPr defaultColWidth="9.1796875" defaultRowHeight="14" x14ac:dyDescent="0.3"/>
  <cols>
    <col min="1" max="1" width="3.36328125" style="1" customWidth="1"/>
    <col min="2" max="2" width="3.81640625" style="6" customWidth="1"/>
    <col min="3" max="3" width="3.6328125" style="1" customWidth="1"/>
    <col min="4" max="4" width="91.6328125" style="1" customWidth="1"/>
    <col min="5" max="8" width="9.6328125" style="1" customWidth="1"/>
    <col min="9" max="9" width="3.81640625" style="1" customWidth="1"/>
    <col min="10" max="16384" width="9.1796875" style="1"/>
  </cols>
  <sheetData>
    <row r="1" spans="2:14" ht="14.5" thickBot="1" x14ac:dyDescent="0.35"/>
    <row r="2" spans="2:14" ht="16" thickTop="1" x14ac:dyDescent="0.35">
      <c r="B2" s="110"/>
      <c r="C2" s="111"/>
      <c r="D2" s="111"/>
      <c r="E2" s="111"/>
      <c r="F2" s="111"/>
      <c r="G2" s="111"/>
      <c r="H2" s="111"/>
      <c r="I2" s="112"/>
    </row>
    <row r="3" spans="2:14" ht="15" customHeight="1" x14ac:dyDescent="0.7">
      <c r="B3" s="113"/>
      <c r="C3" s="114"/>
      <c r="D3" s="217" t="s">
        <v>288</v>
      </c>
      <c r="E3" s="217"/>
      <c r="F3" s="217"/>
      <c r="G3" s="217"/>
      <c r="H3" s="217"/>
      <c r="I3" s="115"/>
    </row>
    <row r="4" spans="2:14" ht="15" customHeight="1" x14ac:dyDescent="0.7">
      <c r="B4" s="113"/>
      <c r="C4" s="114"/>
      <c r="D4" s="217"/>
      <c r="E4" s="217"/>
      <c r="F4" s="217"/>
      <c r="G4" s="217"/>
      <c r="H4" s="217"/>
      <c r="I4" s="115"/>
    </row>
    <row r="5" spans="2:14" ht="15" customHeight="1" x14ac:dyDescent="0.7">
      <c r="B5" s="113"/>
      <c r="C5" s="114"/>
      <c r="D5" s="217"/>
      <c r="E5" s="217"/>
      <c r="F5" s="217"/>
      <c r="G5" s="217"/>
      <c r="H5" s="217"/>
      <c r="I5" s="115"/>
    </row>
    <row r="6" spans="2:14" ht="16" thickBot="1" x14ac:dyDescent="0.4">
      <c r="B6" s="116"/>
      <c r="C6" s="117"/>
      <c r="D6" s="117"/>
      <c r="E6" s="117"/>
      <c r="F6" s="117"/>
      <c r="G6" s="117"/>
      <c r="H6" s="117"/>
      <c r="I6" s="118"/>
    </row>
    <row r="7" spans="2:14" ht="15" customHeight="1" thickTop="1" x14ac:dyDescent="0.55000000000000004">
      <c r="B7" s="218" t="s">
        <v>297</v>
      </c>
      <c r="C7" s="219"/>
      <c r="D7" s="219"/>
      <c r="E7" s="121"/>
      <c r="F7" s="159" t="s">
        <v>296</v>
      </c>
      <c r="G7" s="159"/>
      <c r="H7" s="159"/>
      <c r="I7" s="123"/>
      <c r="J7" s="18"/>
      <c r="K7" s="18"/>
      <c r="L7" s="18"/>
      <c r="M7" s="18"/>
      <c r="N7" s="18"/>
    </row>
    <row r="8" spans="2:14" ht="15" customHeight="1" x14ac:dyDescent="0.55000000000000004">
      <c r="B8" s="220"/>
      <c r="C8" s="221"/>
      <c r="D8" s="221"/>
      <c r="E8" s="222" t="s">
        <v>299</v>
      </c>
      <c r="F8" s="222"/>
      <c r="G8" s="222"/>
      <c r="H8" s="222"/>
      <c r="I8" s="124"/>
      <c r="J8" s="18"/>
      <c r="K8" s="18"/>
      <c r="L8" s="18"/>
      <c r="M8" s="18"/>
      <c r="N8" s="18"/>
    </row>
    <row r="9" spans="2:14" ht="15" customHeight="1" x14ac:dyDescent="0.55000000000000004">
      <c r="B9" s="220"/>
      <c r="C9" s="221"/>
      <c r="D9" s="221"/>
      <c r="E9" s="222" t="s">
        <v>298</v>
      </c>
      <c r="F9" s="222"/>
      <c r="G9" s="222"/>
      <c r="H9" s="222"/>
      <c r="I9" s="124"/>
      <c r="J9" s="18"/>
      <c r="K9" s="18"/>
      <c r="L9" s="18"/>
      <c r="M9" s="18"/>
      <c r="N9" s="18"/>
    </row>
    <row r="10" spans="2:14" x14ac:dyDescent="0.3">
      <c r="B10" s="125"/>
      <c r="C10" s="204" t="s">
        <v>1</v>
      </c>
      <c r="D10" s="205"/>
      <c r="E10" s="205"/>
      <c r="F10" s="206"/>
      <c r="G10" s="133"/>
      <c r="I10" s="126"/>
    </row>
    <row r="11" spans="2:14" x14ac:dyDescent="0.3">
      <c r="B11" s="125"/>
      <c r="C11" s="119">
        <v>1</v>
      </c>
      <c r="D11" s="120" t="s">
        <v>2</v>
      </c>
      <c r="E11" s="202">
        <v>0.15</v>
      </c>
      <c r="F11" s="203"/>
      <c r="G11" s="127"/>
      <c r="I11" s="126"/>
    </row>
    <row r="12" spans="2:14" x14ac:dyDescent="0.3">
      <c r="B12" s="125"/>
      <c r="C12" s="9">
        <v>2</v>
      </c>
      <c r="D12" s="10" t="s">
        <v>3</v>
      </c>
      <c r="E12" s="211">
        <v>1.4999999999999999E-2</v>
      </c>
      <c r="F12" s="212"/>
      <c r="G12" s="127"/>
      <c r="I12" s="126"/>
    </row>
    <row r="13" spans="2:14" x14ac:dyDescent="0.3">
      <c r="B13" s="125"/>
      <c r="C13" s="6"/>
      <c r="E13" s="127"/>
      <c r="I13" s="126"/>
    </row>
    <row r="14" spans="2:14" x14ac:dyDescent="0.3">
      <c r="B14" s="125"/>
      <c r="C14" s="204" t="s">
        <v>4</v>
      </c>
      <c r="D14" s="205"/>
      <c r="E14" s="205"/>
      <c r="F14" s="206"/>
      <c r="G14" s="133"/>
      <c r="I14" s="126"/>
    </row>
    <row r="15" spans="2:14" x14ac:dyDescent="0.3">
      <c r="B15" s="125"/>
      <c r="C15" s="119">
        <v>3</v>
      </c>
      <c r="D15" s="120" t="s">
        <v>5</v>
      </c>
      <c r="E15" s="202">
        <v>0.6</v>
      </c>
      <c r="F15" s="203"/>
      <c r="G15" s="127"/>
      <c r="I15" s="126"/>
    </row>
    <row r="16" spans="2:14" x14ac:dyDescent="0.3">
      <c r="B16" s="125"/>
      <c r="C16" s="11">
        <v>4</v>
      </c>
      <c r="D16" s="12" t="s">
        <v>6</v>
      </c>
      <c r="E16" s="209">
        <v>1</v>
      </c>
      <c r="F16" s="210"/>
      <c r="G16" s="134"/>
      <c r="I16" s="126"/>
    </row>
    <row r="17" spans="2:9" x14ac:dyDescent="0.3">
      <c r="B17" s="125"/>
      <c r="C17" s="11">
        <v>5</v>
      </c>
      <c r="D17" s="12" t="s">
        <v>7</v>
      </c>
      <c r="E17" s="207">
        <v>0.2</v>
      </c>
      <c r="F17" s="208"/>
      <c r="G17" s="127"/>
      <c r="I17" s="126"/>
    </row>
    <row r="18" spans="2:9" x14ac:dyDescent="0.3">
      <c r="B18" s="125"/>
      <c r="C18" s="11">
        <v>6</v>
      </c>
      <c r="D18" s="12" t="s">
        <v>8</v>
      </c>
      <c r="E18" s="207">
        <v>5.5E-2</v>
      </c>
      <c r="F18" s="208"/>
      <c r="G18" s="127"/>
      <c r="I18" s="126"/>
    </row>
    <row r="19" spans="2:9" x14ac:dyDescent="0.3">
      <c r="B19" s="125"/>
      <c r="C19" s="11">
        <v>7</v>
      </c>
      <c r="D19" s="12" t="s">
        <v>9</v>
      </c>
      <c r="E19" s="215">
        <v>500</v>
      </c>
      <c r="F19" s="216"/>
      <c r="G19" s="128"/>
      <c r="I19" s="126"/>
    </row>
    <row r="20" spans="2:9" x14ac:dyDescent="0.3">
      <c r="B20" s="125"/>
      <c r="C20" s="11">
        <v>8</v>
      </c>
      <c r="D20" s="12" t="s">
        <v>10</v>
      </c>
      <c r="E20" s="215">
        <v>12</v>
      </c>
      <c r="F20" s="216"/>
      <c r="G20" s="128"/>
      <c r="I20" s="126"/>
    </row>
    <row r="21" spans="2:9" x14ac:dyDescent="0.3">
      <c r="B21" s="125"/>
      <c r="C21" s="11">
        <v>9</v>
      </c>
      <c r="D21" s="12" t="s">
        <v>11</v>
      </c>
      <c r="E21" s="209">
        <v>1</v>
      </c>
      <c r="F21" s="210"/>
      <c r="G21" s="134"/>
      <c r="I21" s="126"/>
    </row>
    <row r="22" spans="2:9" x14ac:dyDescent="0.3">
      <c r="B22" s="125"/>
      <c r="C22" s="9">
        <v>10</v>
      </c>
      <c r="D22" s="10" t="s">
        <v>12</v>
      </c>
      <c r="E22" s="213">
        <v>3</v>
      </c>
      <c r="F22" s="214"/>
      <c r="G22" s="128"/>
      <c r="I22" s="126"/>
    </row>
    <row r="23" spans="2:9" x14ac:dyDescent="0.3">
      <c r="B23" s="125"/>
      <c r="C23" s="6"/>
      <c r="E23" s="128"/>
      <c r="I23" s="126"/>
    </row>
    <row r="24" spans="2:9" x14ac:dyDescent="0.3">
      <c r="B24" s="125"/>
      <c r="C24" s="204" t="s">
        <v>13</v>
      </c>
      <c r="D24" s="205"/>
      <c r="E24" s="205"/>
      <c r="F24" s="206"/>
      <c r="G24" s="133"/>
      <c r="I24" s="126"/>
    </row>
    <row r="25" spans="2:9" x14ac:dyDescent="0.3">
      <c r="B25" s="125"/>
      <c r="C25" s="119">
        <v>11</v>
      </c>
      <c r="D25" s="120" t="s">
        <v>5</v>
      </c>
      <c r="E25" s="202">
        <v>0.65</v>
      </c>
      <c r="F25" s="203"/>
      <c r="G25" s="127"/>
      <c r="I25" s="126"/>
    </row>
    <row r="26" spans="2:9" x14ac:dyDescent="0.3">
      <c r="B26" s="125"/>
      <c r="C26" s="11">
        <v>12</v>
      </c>
      <c r="D26" s="12" t="s">
        <v>14</v>
      </c>
      <c r="E26" s="209">
        <v>1.2</v>
      </c>
      <c r="F26" s="210"/>
      <c r="G26" s="134"/>
      <c r="I26" s="126"/>
    </row>
    <row r="27" spans="2:9" x14ac:dyDescent="0.3">
      <c r="B27" s="125"/>
      <c r="C27" s="11">
        <v>13</v>
      </c>
      <c r="D27" s="12" t="s">
        <v>8</v>
      </c>
      <c r="E27" s="207">
        <v>0.05</v>
      </c>
      <c r="F27" s="208"/>
      <c r="G27" s="127"/>
      <c r="I27" s="126"/>
    </row>
    <row r="28" spans="2:9" x14ac:dyDescent="0.3">
      <c r="B28" s="125"/>
      <c r="C28" s="11">
        <v>14</v>
      </c>
      <c r="D28" s="12" t="s">
        <v>9</v>
      </c>
      <c r="E28" s="215">
        <v>30</v>
      </c>
      <c r="F28" s="216"/>
      <c r="G28" s="128"/>
      <c r="I28" s="126"/>
    </row>
    <row r="29" spans="2:9" x14ac:dyDescent="0.3">
      <c r="B29" s="125"/>
      <c r="C29" s="11">
        <v>15</v>
      </c>
      <c r="D29" s="12" t="s">
        <v>10</v>
      </c>
      <c r="E29" s="215">
        <v>12</v>
      </c>
      <c r="F29" s="216"/>
      <c r="G29" s="128"/>
      <c r="I29" s="126"/>
    </row>
    <row r="30" spans="2:9" x14ac:dyDescent="0.3">
      <c r="B30" s="125"/>
      <c r="C30" s="11">
        <v>16</v>
      </c>
      <c r="D30" s="12" t="s">
        <v>11</v>
      </c>
      <c r="E30" s="207">
        <v>0.01</v>
      </c>
      <c r="F30" s="208"/>
      <c r="G30" s="127"/>
      <c r="I30" s="126"/>
    </row>
    <row r="31" spans="2:9" x14ac:dyDescent="0.3">
      <c r="B31" s="125"/>
      <c r="C31" s="9">
        <v>17</v>
      </c>
      <c r="D31" s="10" t="s">
        <v>15</v>
      </c>
      <c r="E31" s="213">
        <v>1</v>
      </c>
      <c r="F31" s="214"/>
      <c r="G31" s="128"/>
      <c r="I31" s="126"/>
    </row>
    <row r="32" spans="2:9" x14ac:dyDescent="0.3">
      <c r="B32" s="125"/>
      <c r="C32" s="6"/>
      <c r="E32" s="128"/>
      <c r="I32" s="126"/>
    </row>
    <row r="33" spans="2:9" x14ac:dyDescent="0.3">
      <c r="B33" s="125"/>
      <c r="C33" s="204" t="s">
        <v>16</v>
      </c>
      <c r="D33" s="205"/>
      <c r="E33" s="205"/>
      <c r="F33" s="206"/>
      <c r="G33" s="133"/>
      <c r="I33" s="126"/>
    </row>
    <row r="34" spans="2:9" x14ac:dyDescent="0.3">
      <c r="B34" s="125"/>
      <c r="C34" s="119">
        <v>18</v>
      </c>
      <c r="D34" s="120" t="s">
        <v>287</v>
      </c>
      <c r="E34" s="202">
        <v>6.5000000000000002E-2</v>
      </c>
      <c r="F34" s="203"/>
      <c r="G34" s="127"/>
      <c r="I34" s="126"/>
    </row>
    <row r="35" spans="2:9" x14ac:dyDescent="0.3">
      <c r="B35" s="125"/>
      <c r="C35" s="11">
        <v>19</v>
      </c>
      <c r="D35" s="12" t="s">
        <v>17</v>
      </c>
      <c r="E35" s="207">
        <v>0.02</v>
      </c>
      <c r="F35" s="208"/>
      <c r="G35" s="127"/>
      <c r="I35" s="126"/>
    </row>
    <row r="36" spans="2:9" x14ac:dyDescent="0.3">
      <c r="B36" s="125"/>
      <c r="C36" s="11">
        <v>20</v>
      </c>
      <c r="D36" s="12" t="s">
        <v>18</v>
      </c>
      <c r="E36" s="207">
        <v>0.06</v>
      </c>
      <c r="F36" s="208"/>
      <c r="G36" s="127"/>
      <c r="I36" s="126"/>
    </row>
    <row r="37" spans="2:9" x14ac:dyDescent="0.3">
      <c r="B37" s="125"/>
      <c r="C37" s="9">
        <v>21</v>
      </c>
      <c r="D37" s="10" t="s">
        <v>19</v>
      </c>
      <c r="E37" s="211">
        <v>0.02</v>
      </c>
      <c r="F37" s="212"/>
      <c r="G37" s="127"/>
      <c r="I37" s="126"/>
    </row>
    <row r="38" spans="2:9" x14ac:dyDescent="0.3">
      <c r="B38" s="129"/>
      <c r="I38" s="126"/>
    </row>
    <row r="39" spans="2:9" x14ac:dyDescent="0.3">
      <c r="B39" s="129"/>
      <c r="I39" s="126"/>
    </row>
    <row r="40" spans="2:9" x14ac:dyDescent="0.3">
      <c r="B40" s="129"/>
      <c r="I40" s="126"/>
    </row>
    <row r="41" spans="2:9" x14ac:dyDescent="0.3">
      <c r="B41" s="129"/>
      <c r="I41" s="126"/>
    </row>
    <row r="42" spans="2:9" x14ac:dyDescent="0.3">
      <c r="B42" s="129"/>
      <c r="I42" s="126"/>
    </row>
    <row r="43" spans="2:9" x14ac:dyDescent="0.3">
      <c r="B43" s="129"/>
      <c r="I43" s="126"/>
    </row>
    <row r="44" spans="2:9" x14ac:dyDescent="0.3">
      <c r="B44" s="129"/>
      <c r="I44" s="126"/>
    </row>
    <row r="45" spans="2:9" x14ac:dyDescent="0.3">
      <c r="B45" s="129"/>
      <c r="I45" s="126"/>
    </row>
    <row r="46" spans="2:9" x14ac:dyDescent="0.3">
      <c r="B46" s="129"/>
      <c r="I46" s="126"/>
    </row>
    <row r="47" spans="2:9" x14ac:dyDescent="0.3">
      <c r="B47" s="129"/>
      <c r="I47" s="126"/>
    </row>
    <row r="48" spans="2:9" x14ac:dyDescent="0.3">
      <c r="B48" s="129"/>
      <c r="I48" s="126"/>
    </row>
    <row r="49" spans="2:9" x14ac:dyDescent="0.3">
      <c r="B49" s="129"/>
      <c r="I49" s="126"/>
    </row>
    <row r="50" spans="2:9" x14ac:dyDescent="0.3">
      <c r="B50" s="129"/>
      <c r="I50" s="126"/>
    </row>
    <row r="51" spans="2:9" x14ac:dyDescent="0.3">
      <c r="B51" s="129"/>
      <c r="I51" s="126"/>
    </row>
    <row r="52" spans="2:9" x14ac:dyDescent="0.3">
      <c r="B52" s="129"/>
      <c r="I52" s="126"/>
    </row>
    <row r="53" spans="2:9" x14ac:dyDescent="0.3">
      <c r="B53" s="129"/>
      <c r="I53" s="126"/>
    </row>
    <row r="54" spans="2:9" x14ac:dyDescent="0.3">
      <c r="B54" s="129"/>
      <c r="I54" s="126"/>
    </row>
    <row r="55" spans="2:9" x14ac:dyDescent="0.3">
      <c r="B55" s="129"/>
      <c r="I55" s="126"/>
    </row>
    <row r="56" spans="2:9" x14ac:dyDescent="0.3">
      <c r="B56" s="129"/>
      <c r="I56" s="126"/>
    </row>
    <row r="57" spans="2:9" x14ac:dyDescent="0.3">
      <c r="B57" s="129"/>
      <c r="I57" s="126"/>
    </row>
    <row r="58" spans="2:9" x14ac:dyDescent="0.3">
      <c r="B58" s="129"/>
      <c r="I58" s="126"/>
    </row>
    <row r="59" spans="2:9" x14ac:dyDescent="0.3">
      <c r="B59" s="129"/>
      <c r="I59" s="126"/>
    </row>
    <row r="60" spans="2:9" x14ac:dyDescent="0.3">
      <c r="B60" s="129"/>
      <c r="I60" s="126"/>
    </row>
    <row r="61" spans="2:9" x14ac:dyDescent="0.3">
      <c r="B61" s="129"/>
      <c r="I61" s="126"/>
    </row>
    <row r="62" spans="2:9" x14ac:dyDescent="0.3">
      <c r="B62" s="129"/>
      <c r="I62" s="126"/>
    </row>
    <row r="63" spans="2:9" x14ac:dyDescent="0.3">
      <c r="B63" s="129"/>
      <c r="I63" s="126"/>
    </row>
    <row r="64" spans="2:9" x14ac:dyDescent="0.3">
      <c r="B64" s="129"/>
      <c r="I64" s="126"/>
    </row>
    <row r="65" spans="2:9" x14ac:dyDescent="0.3">
      <c r="B65" s="129"/>
      <c r="I65" s="126"/>
    </row>
    <row r="66" spans="2:9" x14ac:dyDescent="0.3">
      <c r="B66" s="129"/>
      <c r="I66" s="126"/>
    </row>
    <row r="67" spans="2:9" x14ac:dyDescent="0.3">
      <c r="B67" s="129"/>
      <c r="I67" s="126"/>
    </row>
    <row r="68" spans="2:9" x14ac:dyDescent="0.3">
      <c r="B68" s="129"/>
      <c r="I68" s="126"/>
    </row>
    <row r="69" spans="2:9" x14ac:dyDescent="0.3">
      <c r="B69" s="129"/>
      <c r="I69" s="126"/>
    </row>
    <row r="70" spans="2:9" x14ac:dyDescent="0.3">
      <c r="B70" s="129"/>
      <c r="I70" s="126"/>
    </row>
    <row r="71" spans="2:9" ht="15.5" x14ac:dyDescent="0.35">
      <c r="B71" s="129"/>
      <c r="C71" s="63" t="str">
        <f>VERSION</f>
        <v>Version 9.0</v>
      </c>
      <c r="H71" s="135">
        <f>'(1) Tbl.Cnts'!O66+1</f>
        <v>2</v>
      </c>
      <c r="I71" s="126"/>
    </row>
    <row r="72" spans="2:9" ht="14.5" thickBot="1" x14ac:dyDescent="0.35">
      <c r="B72" s="130"/>
      <c r="C72" s="131"/>
      <c r="D72" s="131"/>
      <c r="E72" s="131"/>
      <c r="F72" s="131"/>
      <c r="G72" s="131"/>
      <c r="H72" s="131"/>
      <c r="I72" s="132"/>
    </row>
    <row r="73" spans="2:9" ht="14.5" thickTop="1" x14ac:dyDescent="0.3"/>
  </sheetData>
  <sheetProtection sheet="1" objects="1" scenarios="1" selectLockedCells="1"/>
  <mergeCells count="29">
    <mergeCell ref="C10:F10"/>
    <mergeCell ref="D3:H5"/>
    <mergeCell ref="B7:D9"/>
    <mergeCell ref="E8:H8"/>
    <mergeCell ref="E9:H9"/>
    <mergeCell ref="E28:F28"/>
    <mergeCell ref="E27:F27"/>
    <mergeCell ref="E26:F26"/>
    <mergeCell ref="E37:F37"/>
    <mergeCell ref="E36:F36"/>
    <mergeCell ref="E35:F35"/>
    <mergeCell ref="E34:F34"/>
    <mergeCell ref="E31:F31"/>
    <mergeCell ref="E11:F11"/>
    <mergeCell ref="C33:F33"/>
    <mergeCell ref="C24:F24"/>
    <mergeCell ref="C14:F14"/>
    <mergeCell ref="E18:F18"/>
    <mergeCell ref="E17:F17"/>
    <mergeCell ref="E16:F16"/>
    <mergeCell ref="E15:F15"/>
    <mergeCell ref="E12:F12"/>
    <mergeCell ref="E25:F25"/>
    <mergeCell ref="E22:F22"/>
    <mergeCell ref="E21:F21"/>
    <mergeCell ref="E20:F20"/>
    <mergeCell ref="E19:F19"/>
    <mergeCell ref="E30:F30"/>
    <mergeCell ref="E29:F29"/>
  </mergeCells>
  <dataValidations count="1">
    <dataValidation type="whole" allowBlank="1" showInputMessage="1" showErrorMessage="1" errorTitle="Data Entry Error" error="Value Must Be 1 or 2" sqref="E31:F31" xr:uid="{55590FC4-727D-404D-AD01-F8FD2F9A60C4}">
      <formula1>1</formula1>
      <formula2>2</formula2>
    </dataValidation>
  </dataValidations>
  <printOptions horizontalCentered="1" verticalCentered="1"/>
  <pageMargins left="0" right="0" top="0" bottom="0" header="0" footer="0"/>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5E29-9466-41B7-BF0F-F19D0E3F0A2A}">
  <sheetPr>
    <tabColor rgb="FFC00000"/>
  </sheetPr>
  <dimension ref="B1:I73"/>
  <sheetViews>
    <sheetView showGridLines="0" showRowColHeaders="0" topLeftCell="D5" zoomScale="120" zoomScaleNormal="120" zoomScaleSheetLayoutView="106" workbookViewId="0">
      <selection activeCell="E18" sqref="E18"/>
    </sheetView>
  </sheetViews>
  <sheetFormatPr defaultColWidth="9.1796875" defaultRowHeight="14" x14ac:dyDescent="0.3"/>
  <cols>
    <col min="1" max="1" width="3.36328125" style="1" customWidth="1"/>
    <col min="2" max="2" width="4" style="6" customWidth="1"/>
    <col min="3" max="3" width="4" style="1" customWidth="1"/>
    <col min="4" max="4" width="90" style="1" bestFit="1" customWidth="1"/>
    <col min="5" max="5" width="15.6328125" style="1" customWidth="1"/>
    <col min="6" max="8" width="7.6328125" style="1" customWidth="1"/>
    <col min="9" max="9" width="4" style="1" customWidth="1"/>
    <col min="10" max="16384" width="9.1796875" style="1"/>
  </cols>
  <sheetData>
    <row r="1" spans="2:9" ht="14.5" thickBot="1" x14ac:dyDescent="0.35"/>
    <row r="2" spans="2:9" ht="15" customHeight="1" thickTop="1" x14ac:dyDescent="0.35">
      <c r="B2" s="110"/>
      <c r="C2" s="111"/>
      <c r="D2" s="111"/>
      <c r="E2" s="111"/>
      <c r="F2" s="111"/>
      <c r="G2" s="111"/>
      <c r="H2" s="111"/>
      <c r="I2" s="112"/>
    </row>
    <row r="3" spans="2:9" ht="15" customHeight="1" x14ac:dyDescent="0.7">
      <c r="B3" s="113"/>
      <c r="C3" s="114"/>
      <c r="D3" s="217" t="s">
        <v>20</v>
      </c>
      <c r="E3" s="217"/>
      <c r="F3" s="217"/>
      <c r="G3" s="217"/>
      <c r="H3" s="217"/>
      <c r="I3" s="115"/>
    </row>
    <row r="4" spans="2:9" ht="15" customHeight="1" x14ac:dyDescent="0.7">
      <c r="B4" s="113"/>
      <c r="C4" s="114"/>
      <c r="D4" s="217"/>
      <c r="E4" s="217"/>
      <c r="F4" s="217"/>
      <c r="G4" s="217"/>
      <c r="H4" s="217"/>
      <c r="I4" s="115"/>
    </row>
    <row r="5" spans="2:9" ht="15" customHeight="1" x14ac:dyDescent="0.7">
      <c r="B5" s="113"/>
      <c r="C5" s="114"/>
      <c r="D5" s="217"/>
      <c r="E5" s="217"/>
      <c r="F5" s="217"/>
      <c r="G5" s="217"/>
      <c r="H5" s="217"/>
      <c r="I5" s="115"/>
    </row>
    <row r="6" spans="2:9" ht="15" customHeight="1" thickBot="1" x14ac:dyDescent="0.4">
      <c r="B6" s="116"/>
      <c r="C6" s="117"/>
      <c r="D6" s="117"/>
      <c r="E6" s="117"/>
      <c r="F6" s="117"/>
      <c r="G6" s="117"/>
      <c r="H6" s="117"/>
      <c r="I6" s="118"/>
    </row>
    <row r="7" spans="2:9" ht="14.25" customHeight="1" thickTop="1" x14ac:dyDescent="0.55000000000000004">
      <c r="B7" s="136"/>
      <c r="C7" s="219" t="s">
        <v>20</v>
      </c>
      <c r="D7" s="219"/>
      <c r="E7" s="160"/>
      <c r="F7" s="158" t="s">
        <v>296</v>
      </c>
      <c r="G7" s="158"/>
      <c r="H7" s="158"/>
      <c r="I7" s="123"/>
    </row>
    <row r="8" spans="2:9" ht="14.25" customHeight="1" x14ac:dyDescent="0.55000000000000004">
      <c r="B8" s="125"/>
      <c r="C8" s="221"/>
      <c r="D8" s="221"/>
      <c r="E8" s="222" t="s">
        <v>299</v>
      </c>
      <c r="F8" s="222"/>
      <c r="G8" s="222"/>
      <c r="H8" s="222"/>
      <c r="I8" s="124"/>
    </row>
    <row r="9" spans="2:9" ht="14.25" customHeight="1" x14ac:dyDescent="0.55000000000000004">
      <c r="B9" s="125"/>
      <c r="C9" s="224"/>
      <c r="D9" s="224"/>
      <c r="E9" s="222" t="s">
        <v>298</v>
      </c>
      <c r="F9" s="222"/>
      <c r="G9" s="222"/>
      <c r="H9" s="222"/>
      <c r="I9" s="124"/>
    </row>
    <row r="10" spans="2:9" ht="14.25" customHeight="1" x14ac:dyDescent="0.3">
      <c r="B10" s="125"/>
      <c r="C10" s="204" t="s">
        <v>21</v>
      </c>
      <c r="D10" s="205"/>
      <c r="E10" s="206"/>
      <c r="I10" s="126"/>
    </row>
    <row r="11" spans="2:9" ht="14.25" customHeight="1" x14ac:dyDescent="0.3">
      <c r="B11" s="125"/>
      <c r="C11" s="7">
        <v>1</v>
      </c>
      <c r="D11" s="8" t="s">
        <v>22</v>
      </c>
      <c r="E11" s="181">
        <v>500000</v>
      </c>
      <c r="I11" s="126"/>
    </row>
    <row r="12" spans="2:9" x14ac:dyDescent="0.3">
      <c r="B12" s="125"/>
      <c r="C12" s="11">
        <v>2</v>
      </c>
      <c r="D12" s="12" t="s">
        <v>23</v>
      </c>
      <c r="E12" s="182">
        <v>0</v>
      </c>
      <c r="I12" s="126"/>
    </row>
    <row r="13" spans="2:9" x14ac:dyDescent="0.3">
      <c r="B13" s="125"/>
      <c r="C13" s="11">
        <v>3</v>
      </c>
      <c r="D13" s="12" t="s">
        <v>24</v>
      </c>
      <c r="E13" s="182">
        <v>0</v>
      </c>
      <c r="I13" s="126"/>
    </row>
    <row r="14" spans="2:9" x14ac:dyDescent="0.3">
      <c r="B14" s="125"/>
      <c r="C14" s="9">
        <v>4</v>
      </c>
      <c r="D14" s="10" t="s">
        <v>25</v>
      </c>
      <c r="E14" s="183">
        <f>1000000/43560</f>
        <v>22.956841138659321</v>
      </c>
      <c r="I14" s="126"/>
    </row>
    <row r="15" spans="2:9" x14ac:dyDescent="0.3">
      <c r="B15" s="125"/>
      <c r="C15" s="6"/>
      <c r="E15" s="137"/>
      <c r="I15" s="126"/>
    </row>
    <row r="16" spans="2:9" x14ac:dyDescent="0.3">
      <c r="B16" s="125"/>
      <c r="C16" s="204" t="s">
        <v>26</v>
      </c>
      <c r="D16" s="205"/>
      <c r="E16" s="206"/>
      <c r="I16" s="126"/>
    </row>
    <row r="17" spans="2:9" x14ac:dyDescent="0.3">
      <c r="B17" s="125"/>
      <c r="C17" s="7">
        <v>5</v>
      </c>
      <c r="D17" s="8" t="s">
        <v>27</v>
      </c>
      <c r="E17" s="176">
        <v>2.6</v>
      </c>
      <c r="I17" s="126"/>
    </row>
    <row r="18" spans="2:9" x14ac:dyDescent="0.3">
      <c r="B18" s="125"/>
      <c r="C18" s="9">
        <v>6</v>
      </c>
      <c r="D18" s="10" t="s">
        <v>28</v>
      </c>
      <c r="E18" s="184">
        <v>1</v>
      </c>
      <c r="I18" s="126"/>
    </row>
    <row r="19" spans="2:9" x14ac:dyDescent="0.3">
      <c r="B19" s="125"/>
      <c r="C19" s="6"/>
      <c r="E19" s="134"/>
      <c r="I19" s="126"/>
    </row>
    <row r="20" spans="2:9" x14ac:dyDescent="0.3">
      <c r="B20" s="125"/>
      <c r="C20" s="204" t="s">
        <v>29</v>
      </c>
      <c r="D20" s="205"/>
      <c r="E20" s="206"/>
      <c r="I20" s="126"/>
    </row>
    <row r="21" spans="2:9" x14ac:dyDescent="0.3">
      <c r="B21" s="125"/>
      <c r="C21" s="7">
        <v>7</v>
      </c>
      <c r="D21" s="8" t="s">
        <v>30</v>
      </c>
      <c r="E21" s="185">
        <f>0.4*E11</f>
        <v>200000</v>
      </c>
      <c r="I21" s="126"/>
    </row>
    <row r="22" spans="2:9" x14ac:dyDescent="0.3">
      <c r="B22" s="125"/>
      <c r="C22" s="11">
        <v>8</v>
      </c>
      <c r="D22" s="12" t="s">
        <v>31</v>
      </c>
      <c r="E22" s="186">
        <f>0.22*E11</f>
        <v>110000</v>
      </c>
      <c r="I22" s="126"/>
    </row>
    <row r="23" spans="2:9" x14ac:dyDescent="0.3">
      <c r="B23" s="125"/>
      <c r="C23" s="11">
        <v>9</v>
      </c>
      <c r="D23" s="12" t="s">
        <v>32</v>
      </c>
      <c r="E23" s="186">
        <v>20000</v>
      </c>
      <c r="I23" s="126"/>
    </row>
    <row r="24" spans="2:9" x14ac:dyDescent="0.3">
      <c r="B24" s="125"/>
      <c r="C24" s="11">
        <v>10</v>
      </c>
      <c r="D24" s="12" t="s">
        <v>33</v>
      </c>
      <c r="E24" s="186">
        <v>3200</v>
      </c>
      <c r="I24" s="126"/>
    </row>
    <row r="25" spans="2:9" x14ac:dyDescent="0.3">
      <c r="B25" s="125"/>
      <c r="C25" s="11">
        <v>11</v>
      </c>
      <c r="D25" s="12" t="s">
        <v>34</v>
      </c>
      <c r="E25" s="186">
        <v>14000</v>
      </c>
      <c r="I25" s="126"/>
    </row>
    <row r="26" spans="2:9" x14ac:dyDescent="0.3">
      <c r="B26" s="125"/>
      <c r="C26" s="11">
        <v>12</v>
      </c>
      <c r="D26" s="12" t="s">
        <v>35</v>
      </c>
      <c r="E26" s="186">
        <v>5000</v>
      </c>
      <c r="I26" s="126"/>
    </row>
    <row r="27" spans="2:9" x14ac:dyDescent="0.3">
      <c r="B27" s="125"/>
      <c r="C27" s="11">
        <v>13</v>
      </c>
      <c r="D27" s="12" t="s">
        <v>36</v>
      </c>
      <c r="E27" s="186">
        <v>14000</v>
      </c>
      <c r="I27" s="126"/>
    </row>
    <row r="28" spans="2:9" x14ac:dyDescent="0.3">
      <c r="B28" s="125"/>
      <c r="C28" s="11">
        <v>14</v>
      </c>
      <c r="D28" s="12" t="s">
        <v>37</v>
      </c>
      <c r="E28" s="186">
        <v>0</v>
      </c>
      <c r="I28" s="126"/>
    </row>
    <row r="29" spans="2:9" x14ac:dyDescent="0.3">
      <c r="B29" s="125"/>
      <c r="C29" s="11">
        <v>15</v>
      </c>
      <c r="D29" s="12" t="s">
        <v>38</v>
      </c>
      <c r="E29" s="186">
        <v>150000</v>
      </c>
      <c r="I29" s="126"/>
    </row>
    <row r="30" spans="2:9" x14ac:dyDescent="0.3">
      <c r="B30" s="125"/>
      <c r="C30" s="11">
        <v>16</v>
      </c>
      <c r="D30" s="12" t="s">
        <v>39</v>
      </c>
      <c r="E30" s="186">
        <v>0</v>
      </c>
      <c r="I30" s="126"/>
    </row>
    <row r="31" spans="2:9" x14ac:dyDescent="0.3">
      <c r="B31" s="125"/>
      <c r="C31" s="11">
        <v>17</v>
      </c>
      <c r="D31" s="12" t="s">
        <v>40</v>
      </c>
      <c r="E31" s="186">
        <v>0</v>
      </c>
      <c r="I31" s="126"/>
    </row>
    <row r="32" spans="2:9" x14ac:dyDescent="0.3">
      <c r="B32" s="125"/>
      <c r="C32" s="11">
        <v>18</v>
      </c>
      <c r="D32" s="12" t="s">
        <v>41</v>
      </c>
      <c r="E32" s="186">
        <v>75000</v>
      </c>
      <c r="I32" s="126"/>
    </row>
    <row r="33" spans="2:9" x14ac:dyDescent="0.3">
      <c r="B33" s="125"/>
      <c r="C33" s="11">
        <v>19</v>
      </c>
      <c r="D33" s="12" t="s">
        <v>42</v>
      </c>
      <c r="E33" s="186">
        <v>7500</v>
      </c>
      <c r="I33" s="126"/>
    </row>
    <row r="34" spans="2:9" x14ac:dyDescent="0.3">
      <c r="B34" s="125"/>
      <c r="C34" s="9">
        <v>20</v>
      </c>
      <c r="D34" s="10" t="s">
        <v>43</v>
      </c>
      <c r="E34" s="187">
        <v>60000</v>
      </c>
      <c r="I34" s="126"/>
    </row>
    <row r="35" spans="2:9" x14ac:dyDescent="0.3">
      <c r="B35" s="125"/>
      <c r="C35" s="6"/>
      <c r="E35" s="138"/>
      <c r="I35" s="126"/>
    </row>
    <row r="36" spans="2:9" x14ac:dyDescent="0.3">
      <c r="B36" s="125"/>
      <c r="C36" s="204" t="s">
        <v>44</v>
      </c>
      <c r="D36" s="205"/>
      <c r="E36" s="206"/>
      <c r="I36" s="126"/>
    </row>
    <row r="37" spans="2:9" x14ac:dyDescent="0.3">
      <c r="B37" s="125"/>
      <c r="C37" s="7">
        <v>21</v>
      </c>
      <c r="D37" s="8" t="s">
        <v>45</v>
      </c>
      <c r="E37" s="176">
        <v>29.5</v>
      </c>
      <c r="I37" s="126"/>
    </row>
    <row r="38" spans="2:9" x14ac:dyDescent="0.3">
      <c r="B38" s="125"/>
      <c r="C38" s="11">
        <v>22</v>
      </c>
      <c r="D38" s="12" t="s">
        <v>46</v>
      </c>
      <c r="E38" s="180">
        <v>0</v>
      </c>
      <c r="I38" s="126"/>
    </row>
    <row r="39" spans="2:9" x14ac:dyDescent="0.3">
      <c r="B39" s="125"/>
      <c r="C39" s="11">
        <v>23</v>
      </c>
      <c r="D39" s="12" t="s">
        <v>47</v>
      </c>
      <c r="E39" s="180">
        <v>0</v>
      </c>
      <c r="I39" s="126"/>
    </row>
    <row r="40" spans="2:9" x14ac:dyDescent="0.3">
      <c r="B40" s="125"/>
      <c r="C40" s="11">
        <v>24</v>
      </c>
      <c r="D40" s="12" t="s">
        <v>48</v>
      </c>
      <c r="E40" s="180">
        <v>4</v>
      </c>
      <c r="I40" s="126"/>
    </row>
    <row r="41" spans="2:9" x14ac:dyDescent="0.3">
      <c r="B41" s="125"/>
      <c r="C41" s="11">
        <v>25</v>
      </c>
      <c r="D41" s="12" t="s">
        <v>49</v>
      </c>
      <c r="E41" s="186">
        <v>200000</v>
      </c>
      <c r="I41" s="126"/>
    </row>
    <row r="42" spans="2:9" x14ac:dyDescent="0.3">
      <c r="B42" s="125"/>
      <c r="C42" s="11">
        <v>26</v>
      </c>
      <c r="D42" s="12" t="s">
        <v>50</v>
      </c>
      <c r="E42" s="186">
        <v>0</v>
      </c>
      <c r="I42" s="126"/>
    </row>
    <row r="43" spans="2:9" x14ac:dyDescent="0.3">
      <c r="B43" s="125"/>
      <c r="C43" s="11">
        <v>27</v>
      </c>
      <c r="D43" s="12" t="s">
        <v>51</v>
      </c>
      <c r="E43" s="186">
        <v>0</v>
      </c>
      <c r="I43" s="126"/>
    </row>
    <row r="44" spans="2:9" x14ac:dyDescent="0.3">
      <c r="B44" s="125"/>
      <c r="C44" s="11">
        <v>28</v>
      </c>
      <c r="D44" s="12" t="s">
        <v>52</v>
      </c>
      <c r="E44" s="186">
        <v>15000</v>
      </c>
      <c r="I44" s="126"/>
    </row>
    <row r="45" spans="2:9" x14ac:dyDescent="0.3">
      <c r="B45" s="125"/>
      <c r="C45" s="11">
        <v>29</v>
      </c>
      <c r="D45" s="12" t="s">
        <v>53</v>
      </c>
      <c r="E45" s="186">
        <v>5000</v>
      </c>
      <c r="I45" s="126"/>
    </row>
    <row r="46" spans="2:9" x14ac:dyDescent="0.3">
      <c r="B46" s="125"/>
      <c r="C46" s="11">
        <v>30</v>
      </c>
      <c r="D46" s="12" t="s">
        <v>54</v>
      </c>
      <c r="E46" s="186">
        <v>241000</v>
      </c>
      <c r="I46" s="126"/>
    </row>
    <row r="47" spans="2:9" x14ac:dyDescent="0.3">
      <c r="B47" s="125"/>
      <c r="C47" s="11">
        <v>31</v>
      </c>
      <c r="D47" s="12" t="s">
        <v>55</v>
      </c>
      <c r="E47" s="186">
        <v>150000</v>
      </c>
      <c r="I47" s="126"/>
    </row>
    <row r="48" spans="2:9" x14ac:dyDescent="0.3">
      <c r="B48" s="125"/>
      <c r="C48" s="11">
        <v>32</v>
      </c>
      <c r="D48" s="12" t="s">
        <v>56</v>
      </c>
      <c r="E48" s="186">
        <v>40000</v>
      </c>
      <c r="I48" s="126"/>
    </row>
    <row r="49" spans="2:9" x14ac:dyDescent="0.3">
      <c r="B49" s="125"/>
      <c r="C49" s="9">
        <v>33</v>
      </c>
      <c r="D49" s="10" t="s">
        <v>57</v>
      </c>
      <c r="E49" s="187">
        <v>260000</v>
      </c>
      <c r="I49" s="126"/>
    </row>
    <row r="50" spans="2:9" x14ac:dyDescent="0.3">
      <c r="B50" s="125"/>
      <c r="C50" s="6"/>
      <c r="E50" s="138"/>
      <c r="I50" s="126"/>
    </row>
    <row r="51" spans="2:9" x14ac:dyDescent="0.3">
      <c r="B51" s="125"/>
      <c r="C51" s="204" t="s">
        <v>58</v>
      </c>
      <c r="D51" s="205"/>
      <c r="E51" s="206"/>
      <c r="I51" s="126"/>
    </row>
    <row r="52" spans="2:9" x14ac:dyDescent="0.3">
      <c r="B52" s="125"/>
      <c r="C52" s="7">
        <v>34</v>
      </c>
      <c r="D52" s="8" t="s">
        <v>59</v>
      </c>
      <c r="E52" s="176">
        <v>0</v>
      </c>
      <c r="I52" s="126"/>
    </row>
    <row r="53" spans="2:9" x14ac:dyDescent="0.3">
      <c r="B53" s="125"/>
      <c r="C53" s="11">
        <v>35</v>
      </c>
      <c r="D53" s="12" t="s">
        <v>60</v>
      </c>
      <c r="E53" s="180">
        <v>0</v>
      </c>
      <c r="I53" s="126"/>
    </row>
    <row r="54" spans="2:9" x14ac:dyDescent="0.3">
      <c r="B54" s="125"/>
      <c r="C54" s="11">
        <v>36</v>
      </c>
      <c r="D54" s="12" t="s">
        <v>61</v>
      </c>
      <c r="E54" s="188">
        <v>1</v>
      </c>
      <c r="I54" s="126"/>
    </row>
    <row r="55" spans="2:9" x14ac:dyDescent="0.3">
      <c r="B55" s="125"/>
      <c r="C55" s="11">
        <v>37</v>
      </c>
      <c r="D55" s="12" t="s">
        <v>62</v>
      </c>
      <c r="E55" s="188">
        <v>0.5</v>
      </c>
      <c r="I55" s="126"/>
    </row>
    <row r="56" spans="2:9" x14ac:dyDescent="0.3">
      <c r="B56" s="125"/>
      <c r="C56" s="11">
        <v>38</v>
      </c>
      <c r="D56" s="12" t="s">
        <v>63</v>
      </c>
      <c r="E56" s="189">
        <v>12</v>
      </c>
      <c r="I56" s="126"/>
    </row>
    <row r="57" spans="2:9" x14ac:dyDescent="0.3">
      <c r="B57" s="125"/>
      <c r="C57" s="11">
        <v>39</v>
      </c>
      <c r="D57" s="12" t="s">
        <v>64</v>
      </c>
      <c r="E57" s="186">
        <v>15000</v>
      </c>
      <c r="I57" s="126"/>
    </row>
    <row r="58" spans="2:9" x14ac:dyDescent="0.3">
      <c r="B58" s="125"/>
      <c r="C58" s="11">
        <v>40</v>
      </c>
      <c r="D58" s="12" t="s">
        <v>65</v>
      </c>
      <c r="E58" s="186">
        <v>30000</v>
      </c>
      <c r="I58" s="126"/>
    </row>
    <row r="59" spans="2:9" x14ac:dyDescent="0.3">
      <c r="B59" s="125"/>
      <c r="C59" s="11">
        <v>41</v>
      </c>
      <c r="D59" s="12" t="s">
        <v>66</v>
      </c>
      <c r="E59" s="180">
        <v>3</v>
      </c>
      <c r="I59" s="126"/>
    </row>
    <row r="60" spans="2:9" x14ac:dyDescent="0.3">
      <c r="B60" s="125"/>
      <c r="C60" s="11">
        <v>42</v>
      </c>
      <c r="D60" s="12" t="s">
        <v>67</v>
      </c>
      <c r="E60" s="180">
        <v>0</v>
      </c>
      <c r="I60" s="126"/>
    </row>
    <row r="61" spans="2:9" x14ac:dyDescent="0.3">
      <c r="B61" s="125"/>
      <c r="C61" s="11">
        <v>43</v>
      </c>
      <c r="D61" s="12" t="s">
        <v>68</v>
      </c>
      <c r="E61" s="180">
        <v>0</v>
      </c>
      <c r="I61" s="126"/>
    </row>
    <row r="62" spans="2:9" x14ac:dyDescent="0.3">
      <c r="B62" s="125"/>
      <c r="C62" s="11">
        <v>44</v>
      </c>
      <c r="D62" s="12" t="s">
        <v>69</v>
      </c>
      <c r="E62" s="186">
        <v>10000</v>
      </c>
      <c r="I62" s="126"/>
    </row>
    <row r="63" spans="2:9" x14ac:dyDescent="0.3">
      <c r="B63" s="125"/>
      <c r="C63" s="9">
        <v>45</v>
      </c>
      <c r="D63" s="10" t="s">
        <v>70</v>
      </c>
      <c r="E63" s="187">
        <v>10000</v>
      </c>
      <c r="I63" s="126"/>
    </row>
    <row r="64" spans="2:9" x14ac:dyDescent="0.3">
      <c r="B64" s="125"/>
      <c r="C64" s="6"/>
      <c r="E64" s="138"/>
      <c r="I64" s="126"/>
    </row>
    <row r="65" spans="2:9" x14ac:dyDescent="0.3">
      <c r="B65" s="125"/>
      <c r="C65" s="204" t="s">
        <v>71</v>
      </c>
      <c r="D65" s="205"/>
      <c r="E65" s="206"/>
      <c r="I65" s="126"/>
    </row>
    <row r="66" spans="2:9" x14ac:dyDescent="0.3">
      <c r="B66" s="125"/>
      <c r="C66" s="7">
        <v>46</v>
      </c>
      <c r="D66" s="8" t="s">
        <v>72</v>
      </c>
      <c r="E66" s="185">
        <v>375000</v>
      </c>
      <c r="I66" s="126"/>
    </row>
    <row r="67" spans="2:9" x14ac:dyDescent="0.3">
      <c r="B67" s="125"/>
      <c r="C67" s="9">
        <v>47</v>
      </c>
      <c r="D67" s="10" t="s">
        <v>73</v>
      </c>
      <c r="E67" s="187">
        <v>450000</v>
      </c>
      <c r="I67" s="126"/>
    </row>
    <row r="68" spans="2:9" x14ac:dyDescent="0.3">
      <c r="B68" s="125"/>
      <c r="C68" s="6"/>
      <c r="I68" s="126"/>
    </row>
    <row r="69" spans="2:9" x14ac:dyDescent="0.3">
      <c r="B69" s="125"/>
      <c r="C69" s="6"/>
      <c r="I69" s="126"/>
    </row>
    <row r="70" spans="2:9" x14ac:dyDescent="0.3">
      <c r="B70" s="125"/>
      <c r="C70" s="6"/>
      <c r="I70" s="126"/>
    </row>
    <row r="71" spans="2:9" ht="15" customHeight="1" x14ac:dyDescent="0.3">
      <c r="B71" s="125"/>
      <c r="C71" s="1" t="str">
        <f>VERSION</f>
        <v>Version 9.0</v>
      </c>
      <c r="G71" s="223">
        <f>'(2)Dev.-Inv. &amp; Lender Input'!H71+1</f>
        <v>3</v>
      </c>
      <c r="H71" s="223"/>
      <c r="I71" s="126"/>
    </row>
    <row r="72" spans="2:9" ht="14.5" thickBot="1" x14ac:dyDescent="0.35">
      <c r="B72" s="130"/>
      <c r="C72" s="131"/>
      <c r="D72" s="131"/>
      <c r="E72" s="131"/>
      <c r="F72" s="131"/>
      <c r="G72" s="131"/>
      <c r="H72" s="131"/>
      <c r="I72" s="132"/>
    </row>
    <row r="73" spans="2:9" ht="14.5" thickTop="1" x14ac:dyDescent="0.3"/>
  </sheetData>
  <sheetProtection sheet="1" objects="1" scenarios="1" selectLockedCells="1"/>
  <mergeCells count="11">
    <mergeCell ref="D3:H5"/>
    <mergeCell ref="G71:H71"/>
    <mergeCell ref="C7:D9"/>
    <mergeCell ref="E8:H8"/>
    <mergeCell ref="E9:H9"/>
    <mergeCell ref="C51:E51"/>
    <mergeCell ref="C65:E65"/>
    <mergeCell ref="C10:E10"/>
    <mergeCell ref="C16:E16"/>
    <mergeCell ref="C20:E20"/>
    <mergeCell ref="C36:E36"/>
  </mergeCells>
  <printOptions horizontalCentered="1" verticalCentered="1"/>
  <pageMargins left="0" right="0" top="0" bottom="0" header="0" footer="0"/>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A80E-6975-4B27-BB5C-D85DAAB4C3F9}">
  <sheetPr>
    <tabColor rgb="FFC00000"/>
  </sheetPr>
  <dimension ref="B1:P66"/>
  <sheetViews>
    <sheetView showGridLines="0" showRowColHeaders="0" topLeftCell="C1" zoomScaleNormal="100" zoomScaleSheetLayoutView="95" workbookViewId="0">
      <selection activeCell="E16" sqref="E16"/>
    </sheetView>
  </sheetViews>
  <sheetFormatPr defaultColWidth="9.1796875" defaultRowHeight="14" x14ac:dyDescent="0.3"/>
  <cols>
    <col min="1" max="1" width="3.36328125" style="1" customWidth="1"/>
    <col min="2" max="2" width="3.81640625" style="6" customWidth="1"/>
    <col min="3" max="3" width="4.453125" style="1" customWidth="1"/>
    <col min="4" max="4" width="55.1796875" style="1" bestFit="1" customWidth="1"/>
    <col min="5" max="15" width="13.453125" style="1" customWidth="1"/>
    <col min="16" max="16" width="3.81640625" style="1" customWidth="1"/>
    <col min="17" max="16384" width="9.1796875" style="1"/>
  </cols>
  <sheetData>
    <row r="1" spans="2:16" ht="14.5" thickBot="1" x14ac:dyDescent="0.35"/>
    <row r="2" spans="2:16" ht="15" customHeight="1" thickTop="1" x14ac:dyDescent="0.35">
      <c r="B2" s="110"/>
      <c r="C2" s="111"/>
      <c r="D2" s="111"/>
      <c r="E2" s="111"/>
      <c r="F2" s="111"/>
      <c r="G2" s="111"/>
      <c r="H2" s="111"/>
      <c r="I2" s="111"/>
      <c r="J2" s="111"/>
      <c r="K2" s="111"/>
      <c r="L2" s="111"/>
      <c r="M2" s="111"/>
      <c r="N2" s="111"/>
      <c r="O2" s="111"/>
      <c r="P2" s="112"/>
    </row>
    <row r="3" spans="2:16" ht="15" customHeight="1" x14ac:dyDescent="0.7">
      <c r="B3" s="113"/>
      <c r="C3" s="114"/>
      <c r="D3" s="114"/>
      <c r="E3" s="114"/>
      <c r="F3" s="114"/>
      <c r="G3" s="114"/>
      <c r="H3" s="114"/>
      <c r="I3" s="114"/>
      <c r="J3" s="217" t="s">
        <v>289</v>
      </c>
      <c r="K3" s="217"/>
      <c r="L3" s="217"/>
      <c r="M3" s="217"/>
      <c r="N3" s="217"/>
      <c r="O3" s="217"/>
      <c r="P3" s="115"/>
    </row>
    <row r="4" spans="2:16" ht="15" customHeight="1" x14ac:dyDescent="0.7">
      <c r="B4" s="113"/>
      <c r="C4" s="114"/>
      <c r="D4" s="114"/>
      <c r="E4" s="114"/>
      <c r="F4" s="114"/>
      <c r="G4" s="114"/>
      <c r="H4" s="114"/>
      <c r="I4" s="114"/>
      <c r="J4" s="217"/>
      <c r="K4" s="217"/>
      <c r="L4" s="217"/>
      <c r="M4" s="217"/>
      <c r="N4" s="217"/>
      <c r="O4" s="217"/>
      <c r="P4" s="115"/>
    </row>
    <row r="5" spans="2:16" ht="15" customHeight="1" x14ac:dyDescent="0.7">
      <c r="B5" s="113"/>
      <c r="C5" s="114"/>
      <c r="D5" s="114"/>
      <c r="E5" s="114"/>
      <c r="F5" s="114"/>
      <c r="G5" s="114"/>
      <c r="H5" s="114"/>
      <c r="I5" s="114"/>
      <c r="J5" s="217"/>
      <c r="K5" s="217"/>
      <c r="L5" s="217"/>
      <c r="M5" s="217"/>
      <c r="N5" s="217"/>
      <c r="O5" s="217"/>
      <c r="P5" s="115"/>
    </row>
    <row r="6" spans="2:16" ht="15" customHeight="1" thickBot="1" x14ac:dyDescent="0.4">
      <c r="B6" s="116"/>
      <c r="C6" s="117"/>
      <c r="D6" s="117"/>
      <c r="E6" s="117"/>
      <c r="F6" s="117"/>
      <c r="G6" s="117"/>
      <c r="H6" s="117"/>
      <c r="I6" s="117"/>
      <c r="J6" s="117"/>
      <c r="K6" s="117"/>
      <c r="L6" s="117"/>
      <c r="M6" s="117"/>
      <c r="N6" s="117"/>
      <c r="O6" s="117"/>
      <c r="P6" s="118"/>
    </row>
    <row r="7" spans="2:16" ht="15" customHeight="1" thickTop="1" x14ac:dyDescent="0.55000000000000004">
      <c r="B7" s="136"/>
      <c r="C7" s="219" t="s">
        <v>74</v>
      </c>
      <c r="D7" s="219"/>
      <c r="E7" s="219"/>
      <c r="F7" s="219"/>
      <c r="G7" s="219"/>
      <c r="H7" s="141"/>
      <c r="I7" s="226" t="s">
        <v>296</v>
      </c>
      <c r="J7" s="226"/>
      <c r="K7" s="226"/>
      <c r="L7" s="226"/>
      <c r="M7" s="141"/>
      <c r="N7" s="141"/>
      <c r="O7" s="141"/>
      <c r="P7" s="142"/>
    </row>
    <row r="8" spans="2:16" ht="14.25" customHeight="1" x14ac:dyDescent="0.55000000000000004">
      <c r="B8" s="125"/>
      <c r="C8" s="221"/>
      <c r="D8" s="221"/>
      <c r="E8" s="221"/>
      <c r="F8" s="221"/>
      <c r="G8" s="221"/>
      <c r="H8" s="143"/>
      <c r="I8" s="222" t="s">
        <v>299</v>
      </c>
      <c r="J8" s="222"/>
      <c r="K8" s="222"/>
      <c r="L8" s="222"/>
      <c r="M8" s="143"/>
      <c r="N8" s="143"/>
      <c r="O8" s="143"/>
      <c r="P8" s="126"/>
    </row>
    <row r="9" spans="2:16" ht="14.25" customHeight="1" x14ac:dyDescent="0.55000000000000004">
      <c r="B9" s="125"/>
      <c r="C9" s="224"/>
      <c r="D9" s="224"/>
      <c r="E9" s="224"/>
      <c r="F9" s="224"/>
      <c r="G9" s="224"/>
      <c r="H9" s="143"/>
      <c r="I9" s="222" t="s">
        <v>298</v>
      </c>
      <c r="J9" s="222"/>
      <c r="K9" s="222"/>
      <c r="L9" s="222"/>
      <c r="M9" s="143"/>
      <c r="N9" s="143"/>
      <c r="O9" s="143"/>
      <c r="P9" s="126"/>
    </row>
    <row r="10" spans="2:16" x14ac:dyDescent="0.3">
      <c r="B10" s="125"/>
      <c r="C10" s="204" t="s">
        <v>76</v>
      </c>
      <c r="D10" s="205"/>
      <c r="E10" s="205"/>
      <c r="F10" s="205"/>
      <c r="G10" s="205"/>
      <c r="H10" s="205"/>
      <c r="I10" s="205"/>
      <c r="J10" s="205"/>
      <c r="K10" s="205"/>
      <c r="L10" s="205"/>
      <c r="M10" s="205"/>
      <c r="N10" s="205"/>
      <c r="O10" s="206"/>
      <c r="P10" s="126"/>
    </row>
    <row r="11" spans="2:16" x14ac:dyDescent="0.3">
      <c r="B11" s="125"/>
      <c r="C11" s="15" t="s">
        <v>75</v>
      </c>
      <c r="D11" s="13"/>
      <c r="E11" s="16">
        <v>1</v>
      </c>
      <c r="F11" s="14">
        <v>2</v>
      </c>
      <c r="G11" s="14">
        <v>3</v>
      </c>
      <c r="H11" s="14">
        <v>4</v>
      </c>
      <c r="I11" s="14">
        <v>5</v>
      </c>
      <c r="J11" s="14">
        <v>6</v>
      </c>
      <c r="K11" s="14">
        <v>7</v>
      </c>
      <c r="L11" s="14">
        <v>8</v>
      </c>
      <c r="M11" s="14">
        <v>9</v>
      </c>
      <c r="N11" s="14">
        <v>10</v>
      </c>
      <c r="O11" s="14">
        <v>11</v>
      </c>
      <c r="P11" s="126"/>
    </row>
    <row r="12" spans="2:16" x14ac:dyDescent="0.3">
      <c r="B12" s="125"/>
      <c r="C12" s="7">
        <v>1</v>
      </c>
      <c r="D12" s="8" t="s">
        <v>77</v>
      </c>
      <c r="E12" s="17">
        <f>'(3)Development Budget Input'!E11</f>
        <v>500000</v>
      </c>
      <c r="F12" s="139"/>
      <c r="G12" s="139"/>
      <c r="H12" s="139"/>
      <c r="I12" s="139"/>
      <c r="J12" s="139"/>
      <c r="K12" s="139"/>
      <c r="L12" s="139"/>
      <c r="M12" s="139"/>
      <c r="N12" s="139"/>
      <c r="O12" s="161"/>
      <c r="P12" s="126"/>
    </row>
    <row r="13" spans="2:16" x14ac:dyDescent="0.3">
      <c r="B13" s="125"/>
      <c r="C13" s="11">
        <v>2</v>
      </c>
      <c r="D13" s="12" t="s">
        <v>78</v>
      </c>
      <c r="E13" s="176">
        <v>8.7200000000000006</v>
      </c>
      <c r="F13" s="177">
        <v>2.5000000000000001E-2</v>
      </c>
      <c r="G13" s="177">
        <v>2.5000000000000001E-2</v>
      </c>
      <c r="H13" s="177">
        <v>2.5000000000000001E-2</v>
      </c>
      <c r="I13" s="177">
        <v>2.5000000000000001E-2</v>
      </c>
      <c r="J13" s="177">
        <v>2.5000000000000001E-2</v>
      </c>
      <c r="K13" s="177">
        <v>2.5000000000000001E-2</v>
      </c>
      <c r="L13" s="177">
        <v>2.5000000000000001E-2</v>
      </c>
      <c r="M13" s="177">
        <v>2.5000000000000001E-2</v>
      </c>
      <c r="N13" s="177">
        <v>2.5000000000000001E-2</v>
      </c>
      <c r="O13" s="177">
        <v>2.5000000000000001E-2</v>
      </c>
      <c r="P13" s="126"/>
    </row>
    <row r="14" spans="2:16" x14ac:dyDescent="0.3">
      <c r="B14" s="125"/>
      <c r="C14" s="11">
        <v>3</v>
      </c>
      <c r="D14" s="12" t="s">
        <v>79</v>
      </c>
      <c r="E14" s="178">
        <v>8.6999999999999994E-2</v>
      </c>
      <c r="F14" s="178">
        <f>E14</f>
        <v>8.6999999999999994E-2</v>
      </c>
      <c r="G14" s="178">
        <f t="shared" ref="G14:O14" si="0">F14</f>
        <v>8.6999999999999994E-2</v>
      </c>
      <c r="H14" s="178">
        <f t="shared" si="0"/>
        <v>8.6999999999999994E-2</v>
      </c>
      <c r="I14" s="178">
        <f t="shared" si="0"/>
        <v>8.6999999999999994E-2</v>
      </c>
      <c r="J14" s="178">
        <f t="shared" si="0"/>
        <v>8.6999999999999994E-2</v>
      </c>
      <c r="K14" s="178">
        <f t="shared" si="0"/>
        <v>8.6999999999999994E-2</v>
      </c>
      <c r="L14" s="178">
        <f t="shared" si="0"/>
        <v>8.6999999999999994E-2</v>
      </c>
      <c r="M14" s="178">
        <f t="shared" si="0"/>
        <v>8.6999999999999994E-2</v>
      </c>
      <c r="N14" s="178">
        <f t="shared" si="0"/>
        <v>8.6999999999999994E-2</v>
      </c>
      <c r="O14" s="178">
        <f t="shared" si="0"/>
        <v>8.6999999999999994E-2</v>
      </c>
      <c r="P14" s="126"/>
    </row>
    <row r="15" spans="2:16" x14ac:dyDescent="0.3">
      <c r="B15" s="125"/>
      <c r="C15" s="11">
        <v>4</v>
      </c>
      <c r="D15" s="12" t="s">
        <v>80</v>
      </c>
      <c r="E15" s="17">
        <f>'(3)Development Budget Input'!E12</f>
        <v>0</v>
      </c>
      <c r="F15" s="139"/>
      <c r="G15" s="139"/>
      <c r="H15" s="139"/>
      <c r="I15" s="139"/>
      <c r="J15" s="139"/>
      <c r="K15" s="139"/>
      <c r="L15" s="139"/>
      <c r="M15" s="139"/>
      <c r="N15" s="139"/>
      <c r="O15" s="161"/>
      <c r="P15" s="126"/>
    </row>
    <row r="16" spans="2:16" x14ac:dyDescent="0.3">
      <c r="B16" s="125"/>
      <c r="C16" s="11">
        <v>5</v>
      </c>
      <c r="D16" s="12" t="s">
        <v>81</v>
      </c>
      <c r="E16" s="176"/>
      <c r="F16" s="177"/>
      <c r="G16" s="177">
        <f>F16</f>
        <v>0</v>
      </c>
      <c r="H16" s="177">
        <f t="shared" ref="H16:N16" si="1">G16</f>
        <v>0</v>
      </c>
      <c r="I16" s="177">
        <f t="shared" si="1"/>
        <v>0</v>
      </c>
      <c r="J16" s="177">
        <f t="shared" si="1"/>
        <v>0</v>
      </c>
      <c r="K16" s="177">
        <f t="shared" si="1"/>
        <v>0</v>
      </c>
      <c r="L16" s="177">
        <f t="shared" si="1"/>
        <v>0</v>
      </c>
      <c r="M16" s="177">
        <f t="shared" si="1"/>
        <v>0</v>
      </c>
      <c r="N16" s="177">
        <f t="shared" si="1"/>
        <v>0</v>
      </c>
      <c r="O16" s="177">
        <v>2.5000000000000001E-2</v>
      </c>
      <c r="P16" s="126"/>
    </row>
    <row r="17" spans="2:16" x14ac:dyDescent="0.3">
      <c r="B17" s="125"/>
      <c r="C17" s="11">
        <v>6</v>
      </c>
      <c r="D17" s="12" t="s">
        <v>82</v>
      </c>
      <c r="E17" s="179"/>
      <c r="F17" s="179">
        <f>E17</f>
        <v>0</v>
      </c>
      <c r="G17" s="179">
        <f t="shared" ref="G17:O17" si="2">F17</f>
        <v>0</v>
      </c>
      <c r="H17" s="179">
        <f t="shared" si="2"/>
        <v>0</v>
      </c>
      <c r="I17" s="179">
        <f t="shared" si="2"/>
        <v>0</v>
      </c>
      <c r="J17" s="179">
        <f t="shared" si="2"/>
        <v>0</v>
      </c>
      <c r="K17" s="179">
        <f t="shared" si="2"/>
        <v>0</v>
      </c>
      <c r="L17" s="179">
        <f t="shared" si="2"/>
        <v>0</v>
      </c>
      <c r="M17" s="179">
        <f t="shared" si="2"/>
        <v>0</v>
      </c>
      <c r="N17" s="179">
        <f t="shared" si="2"/>
        <v>0</v>
      </c>
      <c r="O17" s="179">
        <f t="shared" si="2"/>
        <v>0</v>
      </c>
      <c r="P17" s="126"/>
    </row>
    <row r="18" spans="2:16" x14ac:dyDescent="0.3">
      <c r="B18" s="125"/>
      <c r="C18" s="11">
        <v>7</v>
      </c>
      <c r="D18" s="12" t="s">
        <v>83</v>
      </c>
      <c r="E18" s="17">
        <f>'(3)Development Budget Input'!E13</f>
        <v>0</v>
      </c>
      <c r="F18" s="139"/>
      <c r="G18" s="139"/>
      <c r="H18" s="139"/>
      <c r="I18" s="139"/>
      <c r="J18" s="139"/>
      <c r="K18" s="139"/>
      <c r="L18" s="139"/>
      <c r="M18" s="139"/>
      <c r="N18" s="139"/>
      <c r="O18" s="161"/>
      <c r="P18" s="126"/>
    </row>
    <row r="19" spans="2:16" x14ac:dyDescent="0.3">
      <c r="B19" s="125"/>
      <c r="C19" s="11">
        <v>8</v>
      </c>
      <c r="D19" s="12" t="s">
        <v>84</v>
      </c>
      <c r="E19" s="176"/>
      <c r="F19" s="177"/>
      <c r="G19" s="177">
        <f>F19</f>
        <v>0</v>
      </c>
      <c r="H19" s="177">
        <f t="shared" ref="H19:O19" si="3">G19</f>
        <v>0</v>
      </c>
      <c r="I19" s="177">
        <f t="shared" si="3"/>
        <v>0</v>
      </c>
      <c r="J19" s="177">
        <f t="shared" si="3"/>
        <v>0</v>
      </c>
      <c r="K19" s="177">
        <f t="shared" si="3"/>
        <v>0</v>
      </c>
      <c r="L19" s="177">
        <f t="shared" si="3"/>
        <v>0</v>
      </c>
      <c r="M19" s="177">
        <f t="shared" si="3"/>
        <v>0</v>
      </c>
      <c r="N19" s="177">
        <f t="shared" si="3"/>
        <v>0</v>
      </c>
      <c r="O19" s="177">
        <f t="shared" si="3"/>
        <v>0</v>
      </c>
      <c r="P19" s="126"/>
    </row>
    <row r="20" spans="2:16" x14ac:dyDescent="0.3">
      <c r="B20" s="125"/>
      <c r="C20" s="9">
        <v>9</v>
      </c>
      <c r="D20" s="10" t="s">
        <v>85</v>
      </c>
      <c r="E20" s="179"/>
      <c r="F20" s="179">
        <f>E20</f>
        <v>0</v>
      </c>
      <c r="G20" s="179">
        <f t="shared" ref="G20:O20" si="4">F20</f>
        <v>0</v>
      </c>
      <c r="H20" s="179">
        <f t="shared" si="4"/>
        <v>0</v>
      </c>
      <c r="I20" s="179">
        <f t="shared" si="4"/>
        <v>0</v>
      </c>
      <c r="J20" s="179">
        <f t="shared" si="4"/>
        <v>0</v>
      </c>
      <c r="K20" s="179">
        <f t="shared" si="4"/>
        <v>0</v>
      </c>
      <c r="L20" s="179">
        <f t="shared" si="4"/>
        <v>0</v>
      </c>
      <c r="M20" s="179">
        <f t="shared" si="4"/>
        <v>0</v>
      </c>
      <c r="N20" s="179">
        <f t="shared" si="4"/>
        <v>0</v>
      </c>
      <c r="O20" s="179">
        <f t="shared" si="4"/>
        <v>0</v>
      </c>
      <c r="P20" s="126"/>
    </row>
    <row r="21" spans="2:16" x14ac:dyDescent="0.3">
      <c r="B21" s="125"/>
      <c r="C21" s="6"/>
      <c r="P21" s="126"/>
    </row>
    <row r="22" spans="2:16" x14ac:dyDescent="0.3">
      <c r="B22" s="125"/>
      <c r="C22" s="204" t="s">
        <v>86</v>
      </c>
      <c r="D22" s="205"/>
      <c r="E22" s="205"/>
      <c r="F22" s="205"/>
      <c r="G22" s="205"/>
      <c r="H22" s="205"/>
      <c r="I22" s="205"/>
      <c r="J22" s="205"/>
      <c r="K22" s="205"/>
      <c r="L22" s="205"/>
      <c r="M22" s="205"/>
      <c r="N22" s="205"/>
      <c r="O22" s="206"/>
      <c r="P22" s="126"/>
    </row>
    <row r="23" spans="2:16" x14ac:dyDescent="0.3">
      <c r="B23" s="125"/>
      <c r="C23" s="15" t="s">
        <v>75</v>
      </c>
      <c r="D23" s="13"/>
      <c r="E23" s="16">
        <v>1</v>
      </c>
      <c r="F23" s="16">
        <v>2</v>
      </c>
      <c r="G23" s="16">
        <v>3</v>
      </c>
      <c r="H23" s="16">
        <v>4</v>
      </c>
      <c r="I23" s="16">
        <v>5</v>
      </c>
      <c r="J23" s="16">
        <v>6</v>
      </c>
      <c r="K23" s="16">
        <v>7</v>
      </c>
      <c r="L23" s="16">
        <v>8</v>
      </c>
      <c r="M23" s="16">
        <v>9</v>
      </c>
      <c r="N23" s="16">
        <v>10</v>
      </c>
      <c r="O23" s="16">
        <v>11</v>
      </c>
      <c r="P23" s="126"/>
    </row>
    <row r="24" spans="2:16" x14ac:dyDescent="0.3">
      <c r="B24" s="125"/>
      <c r="C24" s="7">
        <v>10</v>
      </c>
      <c r="D24" s="8" t="s">
        <v>87</v>
      </c>
      <c r="E24" s="176"/>
      <c r="F24" s="176"/>
      <c r="G24" s="176">
        <f t="shared" ref="G24:O30" si="5">F24</f>
        <v>0</v>
      </c>
      <c r="H24" s="176">
        <f t="shared" si="5"/>
        <v>0</v>
      </c>
      <c r="I24" s="176">
        <f t="shared" si="5"/>
        <v>0</v>
      </c>
      <c r="J24" s="176">
        <f t="shared" si="5"/>
        <v>0</v>
      </c>
      <c r="K24" s="176">
        <f t="shared" si="5"/>
        <v>0</v>
      </c>
      <c r="L24" s="176">
        <f t="shared" si="5"/>
        <v>0</v>
      </c>
      <c r="M24" s="176">
        <f t="shared" si="5"/>
        <v>0</v>
      </c>
      <c r="N24" s="176">
        <f t="shared" si="5"/>
        <v>0</v>
      </c>
      <c r="O24" s="176">
        <f t="shared" si="5"/>
        <v>0</v>
      </c>
      <c r="P24" s="126"/>
    </row>
    <row r="25" spans="2:16" x14ac:dyDescent="0.3">
      <c r="B25" s="125"/>
      <c r="C25" s="11">
        <v>11</v>
      </c>
      <c r="D25" s="12" t="s">
        <v>88</v>
      </c>
      <c r="E25" s="180"/>
      <c r="F25" s="180"/>
      <c r="G25" s="180">
        <f t="shared" si="5"/>
        <v>0</v>
      </c>
      <c r="H25" s="180">
        <f t="shared" si="5"/>
        <v>0</v>
      </c>
      <c r="I25" s="180">
        <f t="shared" si="5"/>
        <v>0</v>
      </c>
      <c r="J25" s="180">
        <f t="shared" si="5"/>
        <v>0</v>
      </c>
      <c r="K25" s="180">
        <f t="shared" si="5"/>
        <v>0</v>
      </c>
      <c r="L25" s="180">
        <f t="shared" si="5"/>
        <v>0</v>
      </c>
      <c r="M25" s="180">
        <f t="shared" si="5"/>
        <v>0</v>
      </c>
      <c r="N25" s="180">
        <f t="shared" si="5"/>
        <v>0</v>
      </c>
      <c r="O25" s="180">
        <f t="shared" si="5"/>
        <v>0</v>
      </c>
      <c r="P25" s="126"/>
    </row>
    <row r="26" spans="2:16" x14ac:dyDescent="0.3">
      <c r="B26" s="125"/>
      <c r="C26" s="11">
        <v>12</v>
      </c>
      <c r="D26" s="12" t="s">
        <v>89</v>
      </c>
      <c r="E26" s="180"/>
      <c r="F26" s="180"/>
      <c r="G26" s="180">
        <f t="shared" si="5"/>
        <v>0</v>
      </c>
      <c r="H26" s="180">
        <f t="shared" si="5"/>
        <v>0</v>
      </c>
      <c r="I26" s="180">
        <f t="shared" si="5"/>
        <v>0</v>
      </c>
      <c r="J26" s="180">
        <f t="shared" si="5"/>
        <v>0</v>
      </c>
      <c r="K26" s="180">
        <f t="shared" si="5"/>
        <v>0</v>
      </c>
      <c r="L26" s="180">
        <f t="shared" si="5"/>
        <v>0</v>
      </c>
      <c r="M26" s="180">
        <f t="shared" si="5"/>
        <v>0</v>
      </c>
      <c r="N26" s="180">
        <f t="shared" si="5"/>
        <v>0</v>
      </c>
      <c r="O26" s="180">
        <f t="shared" si="5"/>
        <v>0</v>
      </c>
      <c r="P26" s="126"/>
    </row>
    <row r="27" spans="2:16" x14ac:dyDescent="0.3">
      <c r="B27" s="125"/>
      <c r="C27" s="11">
        <v>13</v>
      </c>
      <c r="D27" s="12" t="s">
        <v>90</v>
      </c>
      <c r="E27" s="180"/>
      <c r="F27" s="180"/>
      <c r="G27" s="180">
        <f t="shared" si="5"/>
        <v>0</v>
      </c>
      <c r="H27" s="180">
        <f t="shared" si="5"/>
        <v>0</v>
      </c>
      <c r="I27" s="180">
        <f t="shared" si="5"/>
        <v>0</v>
      </c>
      <c r="J27" s="180">
        <f t="shared" si="5"/>
        <v>0</v>
      </c>
      <c r="K27" s="180">
        <f t="shared" si="5"/>
        <v>0</v>
      </c>
      <c r="L27" s="180">
        <f t="shared" si="5"/>
        <v>0</v>
      </c>
      <c r="M27" s="180">
        <f t="shared" si="5"/>
        <v>0</v>
      </c>
      <c r="N27" s="180">
        <f t="shared" si="5"/>
        <v>0</v>
      </c>
      <c r="O27" s="180">
        <f t="shared" si="5"/>
        <v>0</v>
      </c>
      <c r="P27" s="126"/>
    </row>
    <row r="28" spans="2:16" x14ac:dyDescent="0.3">
      <c r="B28" s="125"/>
      <c r="C28" s="11">
        <v>14</v>
      </c>
      <c r="D28" s="12" t="s">
        <v>91</v>
      </c>
      <c r="E28" s="180"/>
      <c r="F28" s="180"/>
      <c r="G28" s="180">
        <f t="shared" si="5"/>
        <v>0</v>
      </c>
      <c r="H28" s="180">
        <f t="shared" si="5"/>
        <v>0</v>
      </c>
      <c r="I28" s="180">
        <f t="shared" si="5"/>
        <v>0</v>
      </c>
      <c r="J28" s="180">
        <f t="shared" si="5"/>
        <v>0</v>
      </c>
      <c r="K28" s="180">
        <f t="shared" si="5"/>
        <v>0</v>
      </c>
      <c r="L28" s="180">
        <f t="shared" si="5"/>
        <v>0</v>
      </c>
      <c r="M28" s="180">
        <f t="shared" si="5"/>
        <v>0</v>
      </c>
      <c r="N28" s="180">
        <f t="shared" si="5"/>
        <v>0</v>
      </c>
      <c r="O28" s="180">
        <f t="shared" si="5"/>
        <v>0</v>
      </c>
      <c r="P28" s="126"/>
    </row>
    <row r="29" spans="2:16" x14ac:dyDescent="0.3">
      <c r="B29" s="125"/>
      <c r="C29" s="11">
        <v>15</v>
      </c>
      <c r="D29" s="12" t="s">
        <v>92</v>
      </c>
      <c r="E29" s="180"/>
      <c r="F29" s="180"/>
      <c r="G29" s="180">
        <f t="shared" si="5"/>
        <v>0</v>
      </c>
      <c r="H29" s="180">
        <f t="shared" si="5"/>
        <v>0</v>
      </c>
      <c r="I29" s="180">
        <f t="shared" si="5"/>
        <v>0</v>
      </c>
      <c r="J29" s="180">
        <f t="shared" si="5"/>
        <v>0</v>
      </c>
      <c r="K29" s="180">
        <f t="shared" si="5"/>
        <v>0</v>
      </c>
      <c r="L29" s="180">
        <f t="shared" si="5"/>
        <v>0</v>
      </c>
      <c r="M29" s="180">
        <f t="shared" si="5"/>
        <v>0</v>
      </c>
      <c r="N29" s="180">
        <f t="shared" si="5"/>
        <v>0</v>
      </c>
      <c r="O29" s="180">
        <f t="shared" si="5"/>
        <v>0</v>
      </c>
      <c r="P29" s="126"/>
    </row>
    <row r="30" spans="2:16" x14ac:dyDescent="0.3">
      <c r="B30" s="125"/>
      <c r="C30" s="9">
        <v>16</v>
      </c>
      <c r="D30" s="10" t="s">
        <v>93</v>
      </c>
      <c r="E30" s="179"/>
      <c r="F30" s="179">
        <f>E30</f>
        <v>0</v>
      </c>
      <c r="G30" s="179">
        <f t="shared" si="5"/>
        <v>0</v>
      </c>
      <c r="H30" s="179">
        <f t="shared" si="5"/>
        <v>0</v>
      </c>
      <c r="I30" s="179">
        <f t="shared" si="5"/>
        <v>0</v>
      </c>
      <c r="J30" s="179">
        <f t="shared" si="5"/>
        <v>0</v>
      </c>
      <c r="K30" s="179">
        <f t="shared" si="5"/>
        <v>0</v>
      </c>
      <c r="L30" s="179">
        <f t="shared" si="5"/>
        <v>0</v>
      </c>
      <c r="M30" s="179">
        <f t="shared" si="5"/>
        <v>0</v>
      </c>
      <c r="N30" s="179">
        <f t="shared" si="5"/>
        <v>0</v>
      </c>
      <c r="O30" s="179">
        <f t="shared" si="5"/>
        <v>0</v>
      </c>
      <c r="P30" s="126"/>
    </row>
    <row r="31" spans="2:16" ht="15" customHeight="1" x14ac:dyDescent="0.3">
      <c r="B31" s="125"/>
      <c r="C31" s="225" t="s">
        <v>94</v>
      </c>
      <c r="D31" s="225"/>
      <c r="E31" s="225"/>
      <c r="F31" s="225"/>
      <c r="G31" s="225"/>
      <c r="H31" s="225"/>
      <c r="I31" s="225"/>
      <c r="J31" s="225"/>
      <c r="K31" s="225"/>
      <c r="L31" s="225"/>
      <c r="M31" s="225"/>
      <c r="N31" s="225"/>
      <c r="O31" s="225"/>
      <c r="P31" s="126"/>
    </row>
    <row r="32" spans="2:16" ht="15" customHeight="1" x14ac:dyDescent="0.3">
      <c r="B32" s="125"/>
      <c r="C32" s="225"/>
      <c r="D32" s="225"/>
      <c r="E32" s="225"/>
      <c r="F32" s="225"/>
      <c r="G32" s="225"/>
      <c r="H32" s="225"/>
      <c r="I32" s="225"/>
      <c r="J32" s="225"/>
      <c r="K32" s="225"/>
      <c r="L32" s="225"/>
      <c r="M32" s="225"/>
      <c r="N32" s="225"/>
      <c r="O32" s="225"/>
      <c r="P32" s="126"/>
    </row>
    <row r="33" spans="2:16" ht="15" customHeight="1" x14ac:dyDescent="0.3">
      <c r="B33" s="125"/>
      <c r="C33" s="225"/>
      <c r="D33" s="225"/>
      <c r="E33" s="225"/>
      <c r="F33" s="225"/>
      <c r="G33" s="225"/>
      <c r="H33" s="225"/>
      <c r="I33" s="225"/>
      <c r="J33" s="225"/>
      <c r="K33" s="225"/>
      <c r="L33" s="225"/>
      <c r="M33" s="225"/>
      <c r="N33" s="225"/>
      <c r="O33" s="225"/>
      <c r="P33" s="126"/>
    </row>
    <row r="34" spans="2:16" x14ac:dyDescent="0.3">
      <c r="B34" s="125"/>
      <c r="C34" s="204" t="s">
        <v>95</v>
      </c>
      <c r="D34" s="205"/>
      <c r="E34" s="205"/>
      <c r="F34" s="205"/>
      <c r="G34" s="205"/>
      <c r="H34" s="205"/>
      <c r="I34" s="205"/>
      <c r="J34" s="205"/>
      <c r="K34" s="205"/>
      <c r="L34" s="205"/>
      <c r="M34" s="205"/>
      <c r="N34" s="205"/>
      <c r="O34" s="206"/>
      <c r="P34" s="126"/>
    </row>
    <row r="35" spans="2:16" x14ac:dyDescent="0.3">
      <c r="B35" s="125"/>
      <c r="C35" s="15" t="s">
        <v>75</v>
      </c>
      <c r="D35" s="13"/>
      <c r="E35" s="16">
        <v>1</v>
      </c>
      <c r="F35" s="16">
        <v>2</v>
      </c>
      <c r="G35" s="16">
        <v>3</v>
      </c>
      <c r="H35" s="16">
        <v>4</v>
      </c>
      <c r="I35" s="16">
        <v>5</v>
      </c>
      <c r="J35" s="16">
        <v>6</v>
      </c>
      <c r="K35" s="16">
        <v>7</v>
      </c>
      <c r="L35" s="16">
        <v>8</v>
      </c>
      <c r="M35" s="16">
        <v>9</v>
      </c>
      <c r="N35" s="16">
        <v>10</v>
      </c>
      <c r="O35" s="16">
        <v>11</v>
      </c>
      <c r="P35" s="126"/>
    </row>
    <row r="36" spans="2:16" x14ac:dyDescent="0.3">
      <c r="B36" s="125"/>
      <c r="C36" s="7">
        <v>17</v>
      </c>
      <c r="D36" s="8" t="s">
        <v>87</v>
      </c>
      <c r="E36" s="176"/>
      <c r="F36" s="176"/>
      <c r="G36" s="176">
        <f t="shared" ref="G36:O42" si="6">F36</f>
        <v>0</v>
      </c>
      <c r="H36" s="176">
        <f t="shared" si="6"/>
        <v>0</v>
      </c>
      <c r="I36" s="176">
        <f t="shared" si="6"/>
        <v>0</v>
      </c>
      <c r="J36" s="176">
        <f t="shared" si="6"/>
        <v>0</v>
      </c>
      <c r="K36" s="176">
        <f t="shared" si="6"/>
        <v>0</v>
      </c>
      <c r="L36" s="176">
        <f t="shared" si="6"/>
        <v>0</v>
      </c>
      <c r="M36" s="176">
        <f t="shared" si="6"/>
        <v>0</v>
      </c>
      <c r="N36" s="176">
        <f t="shared" si="6"/>
        <v>0</v>
      </c>
      <c r="O36" s="176">
        <f t="shared" si="6"/>
        <v>0</v>
      </c>
      <c r="P36" s="126"/>
    </row>
    <row r="37" spans="2:16" x14ac:dyDescent="0.3">
      <c r="B37" s="125"/>
      <c r="C37" s="11">
        <v>18</v>
      </c>
      <c r="D37" s="12" t="s">
        <v>88</v>
      </c>
      <c r="E37" s="180"/>
      <c r="F37" s="180"/>
      <c r="G37" s="180">
        <f t="shared" si="6"/>
        <v>0</v>
      </c>
      <c r="H37" s="180">
        <f t="shared" si="6"/>
        <v>0</v>
      </c>
      <c r="I37" s="180">
        <f t="shared" si="6"/>
        <v>0</v>
      </c>
      <c r="J37" s="180">
        <f t="shared" si="6"/>
        <v>0</v>
      </c>
      <c r="K37" s="180">
        <f t="shared" si="6"/>
        <v>0</v>
      </c>
      <c r="L37" s="180">
        <f t="shared" si="6"/>
        <v>0</v>
      </c>
      <c r="M37" s="180">
        <f t="shared" si="6"/>
        <v>0</v>
      </c>
      <c r="N37" s="180">
        <f t="shared" si="6"/>
        <v>0</v>
      </c>
      <c r="O37" s="180">
        <f t="shared" si="6"/>
        <v>0</v>
      </c>
      <c r="P37" s="126"/>
    </row>
    <row r="38" spans="2:16" x14ac:dyDescent="0.3">
      <c r="B38" s="125"/>
      <c r="C38" s="11">
        <v>19</v>
      </c>
      <c r="D38" s="12" t="s">
        <v>89</v>
      </c>
      <c r="E38" s="180"/>
      <c r="F38" s="180"/>
      <c r="G38" s="180">
        <f t="shared" si="6"/>
        <v>0</v>
      </c>
      <c r="H38" s="180">
        <f t="shared" si="6"/>
        <v>0</v>
      </c>
      <c r="I38" s="180">
        <f t="shared" si="6"/>
        <v>0</v>
      </c>
      <c r="J38" s="180">
        <f t="shared" si="6"/>
        <v>0</v>
      </c>
      <c r="K38" s="180">
        <f t="shared" si="6"/>
        <v>0</v>
      </c>
      <c r="L38" s="180">
        <f t="shared" si="6"/>
        <v>0</v>
      </c>
      <c r="M38" s="180">
        <f t="shared" si="6"/>
        <v>0</v>
      </c>
      <c r="N38" s="180">
        <f t="shared" si="6"/>
        <v>0</v>
      </c>
      <c r="O38" s="180">
        <f t="shared" si="6"/>
        <v>0</v>
      </c>
      <c r="P38" s="126"/>
    </row>
    <row r="39" spans="2:16" x14ac:dyDescent="0.3">
      <c r="B39" s="125"/>
      <c r="C39" s="11">
        <v>20</v>
      </c>
      <c r="D39" s="12" t="s">
        <v>90</v>
      </c>
      <c r="E39" s="180"/>
      <c r="F39" s="180"/>
      <c r="G39" s="180">
        <f t="shared" si="6"/>
        <v>0</v>
      </c>
      <c r="H39" s="180">
        <f t="shared" si="6"/>
        <v>0</v>
      </c>
      <c r="I39" s="180">
        <f t="shared" si="6"/>
        <v>0</v>
      </c>
      <c r="J39" s="180">
        <f t="shared" si="6"/>
        <v>0</v>
      </c>
      <c r="K39" s="180">
        <f t="shared" si="6"/>
        <v>0</v>
      </c>
      <c r="L39" s="180">
        <f t="shared" si="6"/>
        <v>0</v>
      </c>
      <c r="M39" s="180">
        <f t="shared" si="6"/>
        <v>0</v>
      </c>
      <c r="N39" s="180">
        <f t="shared" si="6"/>
        <v>0</v>
      </c>
      <c r="O39" s="180">
        <f t="shared" si="6"/>
        <v>0</v>
      </c>
      <c r="P39" s="126"/>
    </row>
    <row r="40" spans="2:16" x14ac:dyDescent="0.3">
      <c r="B40" s="125"/>
      <c r="C40" s="11">
        <v>21</v>
      </c>
      <c r="D40" s="12" t="s">
        <v>91</v>
      </c>
      <c r="E40" s="180"/>
      <c r="F40" s="180"/>
      <c r="G40" s="180">
        <f t="shared" si="6"/>
        <v>0</v>
      </c>
      <c r="H40" s="180">
        <f t="shared" si="6"/>
        <v>0</v>
      </c>
      <c r="I40" s="180">
        <f t="shared" si="6"/>
        <v>0</v>
      </c>
      <c r="J40" s="180">
        <f t="shared" si="6"/>
        <v>0</v>
      </c>
      <c r="K40" s="180">
        <f t="shared" si="6"/>
        <v>0</v>
      </c>
      <c r="L40" s="180">
        <f t="shared" si="6"/>
        <v>0</v>
      </c>
      <c r="M40" s="180">
        <f t="shared" si="6"/>
        <v>0</v>
      </c>
      <c r="N40" s="180">
        <f t="shared" si="6"/>
        <v>0</v>
      </c>
      <c r="O40" s="180">
        <f t="shared" si="6"/>
        <v>0</v>
      </c>
      <c r="P40" s="126"/>
    </row>
    <row r="41" spans="2:16" x14ac:dyDescent="0.3">
      <c r="B41" s="125"/>
      <c r="C41" s="11">
        <v>22</v>
      </c>
      <c r="D41" s="12" t="s">
        <v>92</v>
      </c>
      <c r="E41" s="180"/>
      <c r="F41" s="180"/>
      <c r="G41" s="180">
        <f t="shared" si="6"/>
        <v>0</v>
      </c>
      <c r="H41" s="180">
        <f t="shared" si="6"/>
        <v>0</v>
      </c>
      <c r="I41" s="180">
        <f t="shared" si="6"/>
        <v>0</v>
      </c>
      <c r="J41" s="180">
        <f t="shared" si="6"/>
        <v>0</v>
      </c>
      <c r="K41" s="180">
        <f t="shared" si="6"/>
        <v>0</v>
      </c>
      <c r="L41" s="180">
        <f t="shared" si="6"/>
        <v>0</v>
      </c>
      <c r="M41" s="180">
        <f t="shared" si="6"/>
        <v>0</v>
      </c>
      <c r="N41" s="180">
        <f t="shared" si="6"/>
        <v>0</v>
      </c>
      <c r="O41" s="180">
        <f t="shared" si="6"/>
        <v>0</v>
      </c>
      <c r="P41" s="126"/>
    </row>
    <row r="42" spans="2:16" x14ac:dyDescent="0.3">
      <c r="B42" s="125"/>
      <c r="C42" s="9">
        <v>23</v>
      </c>
      <c r="D42" s="10" t="s">
        <v>93</v>
      </c>
      <c r="E42" s="179"/>
      <c r="F42" s="179">
        <f>E42</f>
        <v>0</v>
      </c>
      <c r="G42" s="179">
        <f t="shared" si="6"/>
        <v>0</v>
      </c>
      <c r="H42" s="179">
        <f t="shared" si="6"/>
        <v>0</v>
      </c>
      <c r="I42" s="179">
        <f t="shared" si="6"/>
        <v>0</v>
      </c>
      <c r="J42" s="179">
        <f t="shared" si="6"/>
        <v>0</v>
      </c>
      <c r="K42" s="179">
        <f t="shared" si="6"/>
        <v>0</v>
      </c>
      <c r="L42" s="179">
        <f t="shared" si="6"/>
        <v>0</v>
      </c>
      <c r="M42" s="179">
        <f t="shared" si="6"/>
        <v>0</v>
      </c>
      <c r="N42" s="179">
        <f t="shared" si="6"/>
        <v>0</v>
      </c>
      <c r="O42" s="179">
        <f t="shared" si="6"/>
        <v>0</v>
      </c>
      <c r="P42" s="126"/>
    </row>
    <row r="43" spans="2:16" x14ac:dyDescent="0.3">
      <c r="B43" s="125"/>
      <c r="C43" s="6"/>
      <c r="P43" s="126"/>
    </row>
    <row r="44" spans="2:16" x14ac:dyDescent="0.3">
      <c r="B44" s="125"/>
      <c r="C44" s="204" t="s">
        <v>96</v>
      </c>
      <c r="D44" s="205"/>
      <c r="E44" s="205"/>
      <c r="F44" s="205"/>
      <c r="G44" s="205"/>
      <c r="H44" s="205"/>
      <c r="I44" s="205"/>
      <c r="J44" s="205"/>
      <c r="K44" s="205"/>
      <c r="L44" s="205"/>
      <c r="M44" s="205"/>
      <c r="N44" s="205"/>
      <c r="O44" s="206"/>
      <c r="P44" s="126"/>
    </row>
    <row r="45" spans="2:16" x14ac:dyDescent="0.3">
      <c r="B45" s="125"/>
      <c r="C45" s="15" t="s">
        <v>75</v>
      </c>
      <c r="D45" s="13"/>
      <c r="E45" s="16">
        <v>1</v>
      </c>
      <c r="F45" s="16">
        <v>2</v>
      </c>
      <c r="G45" s="16">
        <v>3</v>
      </c>
      <c r="H45" s="16">
        <v>4</v>
      </c>
      <c r="I45" s="16">
        <v>5</v>
      </c>
      <c r="J45" s="16">
        <v>6</v>
      </c>
      <c r="K45" s="16">
        <v>7</v>
      </c>
      <c r="L45" s="16">
        <v>8</v>
      </c>
      <c r="M45" s="16">
        <v>9</v>
      </c>
      <c r="N45" s="16">
        <v>10</v>
      </c>
      <c r="O45" s="16">
        <v>11</v>
      </c>
      <c r="P45" s="126"/>
    </row>
    <row r="46" spans="2:16" x14ac:dyDescent="0.3">
      <c r="B46" s="125"/>
      <c r="C46" s="7">
        <v>24</v>
      </c>
      <c r="D46" s="8" t="s">
        <v>87</v>
      </c>
      <c r="E46" s="176"/>
      <c r="F46" s="176"/>
      <c r="G46" s="176">
        <f t="shared" ref="G46:O52" si="7">F46</f>
        <v>0</v>
      </c>
      <c r="H46" s="176">
        <f t="shared" si="7"/>
        <v>0</v>
      </c>
      <c r="I46" s="176">
        <f t="shared" si="7"/>
        <v>0</v>
      </c>
      <c r="J46" s="176">
        <f t="shared" si="7"/>
        <v>0</v>
      </c>
      <c r="K46" s="176">
        <f t="shared" si="7"/>
        <v>0</v>
      </c>
      <c r="L46" s="176">
        <f t="shared" si="7"/>
        <v>0</v>
      </c>
      <c r="M46" s="176">
        <f t="shared" si="7"/>
        <v>0</v>
      </c>
      <c r="N46" s="176">
        <f t="shared" si="7"/>
        <v>0</v>
      </c>
      <c r="O46" s="176">
        <f t="shared" si="7"/>
        <v>0</v>
      </c>
      <c r="P46" s="126"/>
    </row>
    <row r="47" spans="2:16" x14ac:dyDescent="0.3">
      <c r="B47" s="125"/>
      <c r="C47" s="11">
        <v>25</v>
      </c>
      <c r="D47" s="12" t="s">
        <v>88</v>
      </c>
      <c r="E47" s="180"/>
      <c r="F47" s="180"/>
      <c r="G47" s="180">
        <f t="shared" si="7"/>
        <v>0</v>
      </c>
      <c r="H47" s="180">
        <f t="shared" si="7"/>
        <v>0</v>
      </c>
      <c r="I47" s="180">
        <f t="shared" si="7"/>
        <v>0</v>
      </c>
      <c r="J47" s="180">
        <f t="shared" si="7"/>
        <v>0</v>
      </c>
      <c r="K47" s="180">
        <f t="shared" si="7"/>
        <v>0</v>
      </c>
      <c r="L47" s="180">
        <f t="shared" si="7"/>
        <v>0</v>
      </c>
      <c r="M47" s="180">
        <f t="shared" si="7"/>
        <v>0</v>
      </c>
      <c r="N47" s="180">
        <f t="shared" si="7"/>
        <v>0</v>
      </c>
      <c r="O47" s="180">
        <f t="shared" si="7"/>
        <v>0</v>
      </c>
      <c r="P47" s="126"/>
    </row>
    <row r="48" spans="2:16" x14ac:dyDescent="0.3">
      <c r="B48" s="125"/>
      <c r="C48" s="11">
        <v>26</v>
      </c>
      <c r="D48" s="12" t="s">
        <v>89</v>
      </c>
      <c r="E48" s="180"/>
      <c r="F48" s="180"/>
      <c r="G48" s="180">
        <f t="shared" si="7"/>
        <v>0</v>
      </c>
      <c r="H48" s="180">
        <f t="shared" si="7"/>
        <v>0</v>
      </c>
      <c r="I48" s="180">
        <f t="shared" si="7"/>
        <v>0</v>
      </c>
      <c r="J48" s="180">
        <f t="shared" si="7"/>
        <v>0</v>
      </c>
      <c r="K48" s="180">
        <f t="shared" si="7"/>
        <v>0</v>
      </c>
      <c r="L48" s="180">
        <f t="shared" si="7"/>
        <v>0</v>
      </c>
      <c r="M48" s="180">
        <f t="shared" si="7"/>
        <v>0</v>
      </c>
      <c r="N48" s="180">
        <f t="shared" si="7"/>
        <v>0</v>
      </c>
      <c r="O48" s="180">
        <f t="shared" si="7"/>
        <v>0</v>
      </c>
      <c r="P48" s="126"/>
    </row>
    <row r="49" spans="2:16" x14ac:dyDescent="0.3">
      <c r="B49" s="125"/>
      <c r="C49" s="11">
        <v>27</v>
      </c>
      <c r="D49" s="12" t="s">
        <v>90</v>
      </c>
      <c r="E49" s="180"/>
      <c r="F49" s="180"/>
      <c r="G49" s="180">
        <f t="shared" si="7"/>
        <v>0</v>
      </c>
      <c r="H49" s="180">
        <f t="shared" si="7"/>
        <v>0</v>
      </c>
      <c r="I49" s="180">
        <f t="shared" si="7"/>
        <v>0</v>
      </c>
      <c r="J49" s="180">
        <f t="shared" si="7"/>
        <v>0</v>
      </c>
      <c r="K49" s="180">
        <f t="shared" si="7"/>
        <v>0</v>
      </c>
      <c r="L49" s="180">
        <f t="shared" si="7"/>
        <v>0</v>
      </c>
      <c r="M49" s="180">
        <f t="shared" si="7"/>
        <v>0</v>
      </c>
      <c r="N49" s="180">
        <f t="shared" si="7"/>
        <v>0</v>
      </c>
      <c r="O49" s="180">
        <f t="shared" si="7"/>
        <v>0</v>
      </c>
      <c r="P49" s="126"/>
    </row>
    <row r="50" spans="2:16" x14ac:dyDescent="0.3">
      <c r="B50" s="125"/>
      <c r="C50" s="11">
        <v>28</v>
      </c>
      <c r="D50" s="12" t="s">
        <v>91</v>
      </c>
      <c r="E50" s="180"/>
      <c r="F50" s="180"/>
      <c r="G50" s="180">
        <f t="shared" si="7"/>
        <v>0</v>
      </c>
      <c r="H50" s="180">
        <f t="shared" si="7"/>
        <v>0</v>
      </c>
      <c r="I50" s="180">
        <f t="shared" si="7"/>
        <v>0</v>
      </c>
      <c r="J50" s="180">
        <f t="shared" si="7"/>
        <v>0</v>
      </c>
      <c r="K50" s="180">
        <f t="shared" si="7"/>
        <v>0</v>
      </c>
      <c r="L50" s="180">
        <f t="shared" si="7"/>
        <v>0</v>
      </c>
      <c r="M50" s="180">
        <f t="shared" si="7"/>
        <v>0</v>
      </c>
      <c r="N50" s="180">
        <f t="shared" si="7"/>
        <v>0</v>
      </c>
      <c r="O50" s="180">
        <f t="shared" si="7"/>
        <v>0</v>
      </c>
      <c r="P50" s="126"/>
    </row>
    <row r="51" spans="2:16" x14ac:dyDescent="0.3">
      <c r="B51" s="125"/>
      <c r="C51" s="11">
        <v>29</v>
      </c>
      <c r="D51" s="12" t="s">
        <v>92</v>
      </c>
      <c r="E51" s="180"/>
      <c r="F51" s="180"/>
      <c r="G51" s="180">
        <f t="shared" si="7"/>
        <v>0</v>
      </c>
      <c r="H51" s="180">
        <f t="shared" si="7"/>
        <v>0</v>
      </c>
      <c r="I51" s="180">
        <f t="shared" si="7"/>
        <v>0</v>
      </c>
      <c r="J51" s="180">
        <f t="shared" si="7"/>
        <v>0</v>
      </c>
      <c r="K51" s="180">
        <f t="shared" si="7"/>
        <v>0</v>
      </c>
      <c r="L51" s="180">
        <f t="shared" si="7"/>
        <v>0</v>
      </c>
      <c r="M51" s="180">
        <f t="shared" si="7"/>
        <v>0</v>
      </c>
      <c r="N51" s="180">
        <f t="shared" si="7"/>
        <v>0</v>
      </c>
      <c r="O51" s="180">
        <f t="shared" si="7"/>
        <v>0</v>
      </c>
      <c r="P51" s="126"/>
    </row>
    <row r="52" spans="2:16" x14ac:dyDescent="0.3">
      <c r="B52" s="125"/>
      <c r="C52" s="9">
        <v>30</v>
      </c>
      <c r="D52" s="10" t="s">
        <v>93</v>
      </c>
      <c r="E52" s="179"/>
      <c r="F52" s="179">
        <f>E52</f>
        <v>0</v>
      </c>
      <c r="G52" s="179">
        <f t="shared" si="7"/>
        <v>0</v>
      </c>
      <c r="H52" s="179">
        <f t="shared" si="7"/>
        <v>0</v>
      </c>
      <c r="I52" s="179">
        <f t="shared" si="7"/>
        <v>0</v>
      </c>
      <c r="J52" s="179">
        <f t="shared" si="7"/>
        <v>0</v>
      </c>
      <c r="K52" s="179">
        <f t="shared" si="7"/>
        <v>0</v>
      </c>
      <c r="L52" s="179">
        <f t="shared" si="7"/>
        <v>0</v>
      </c>
      <c r="M52" s="179">
        <f t="shared" si="7"/>
        <v>0</v>
      </c>
      <c r="N52" s="179">
        <f t="shared" si="7"/>
        <v>0</v>
      </c>
      <c r="O52" s="179">
        <f t="shared" si="7"/>
        <v>0</v>
      </c>
      <c r="P52" s="126"/>
    </row>
    <row r="53" spans="2:16" x14ac:dyDescent="0.3">
      <c r="B53" s="125"/>
      <c r="C53" s="6"/>
      <c r="P53" s="126"/>
    </row>
    <row r="54" spans="2:16" x14ac:dyDescent="0.3">
      <c r="B54" s="125"/>
      <c r="C54" s="204" t="s">
        <v>97</v>
      </c>
      <c r="D54" s="205"/>
      <c r="E54" s="205"/>
      <c r="F54" s="205"/>
      <c r="G54" s="205"/>
      <c r="H54" s="205"/>
      <c r="I54" s="205"/>
      <c r="J54" s="205"/>
      <c r="K54" s="205"/>
      <c r="L54" s="205"/>
      <c r="M54" s="205"/>
      <c r="N54" s="205"/>
      <c r="O54" s="206"/>
      <c r="P54" s="126"/>
    </row>
    <row r="55" spans="2:16" x14ac:dyDescent="0.3">
      <c r="B55" s="125"/>
      <c r="C55" s="15" t="s">
        <v>75</v>
      </c>
      <c r="D55" s="13"/>
      <c r="E55" s="16">
        <v>1</v>
      </c>
      <c r="F55" s="16">
        <v>2</v>
      </c>
      <c r="G55" s="16">
        <v>3</v>
      </c>
      <c r="H55" s="16">
        <v>4</v>
      </c>
      <c r="I55" s="16">
        <v>5</v>
      </c>
      <c r="J55" s="16">
        <v>6</v>
      </c>
      <c r="K55" s="16">
        <v>7</v>
      </c>
      <c r="L55" s="16">
        <v>8</v>
      </c>
      <c r="M55" s="16">
        <v>9</v>
      </c>
      <c r="N55" s="16">
        <v>10</v>
      </c>
      <c r="O55" s="16">
        <v>11</v>
      </c>
      <c r="P55" s="126"/>
    </row>
    <row r="56" spans="2:16" x14ac:dyDescent="0.3">
      <c r="B56" s="125"/>
      <c r="C56" s="7">
        <v>31</v>
      </c>
      <c r="D56" s="8" t="s">
        <v>87</v>
      </c>
      <c r="E56" s="176"/>
      <c r="F56" s="176"/>
      <c r="G56" s="176">
        <f t="shared" ref="G56:O62" si="8">F56</f>
        <v>0</v>
      </c>
      <c r="H56" s="176">
        <f t="shared" si="8"/>
        <v>0</v>
      </c>
      <c r="I56" s="176">
        <f t="shared" si="8"/>
        <v>0</v>
      </c>
      <c r="J56" s="176">
        <f t="shared" si="8"/>
        <v>0</v>
      </c>
      <c r="K56" s="176">
        <f t="shared" si="8"/>
        <v>0</v>
      </c>
      <c r="L56" s="176">
        <f t="shared" si="8"/>
        <v>0</v>
      </c>
      <c r="M56" s="176">
        <f t="shared" si="8"/>
        <v>0</v>
      </c>
      <c r="N56" s="176">
        <f t="shared" si="8"/>
        <v>0</v>
      </c>
      <c r="O56" s="176">
        <f t="shared" si="8"/>
        <v>0</v>
      </c>
      <c r="P56" s="126"/>
    </row>
    <row r="57" spans="2:16" x14ac:dyDescent="0.3">
      <c r="B57" s="125"/>
      <c r="C57" s="11">
        <v>32</v>
      </c>
      <c r="D57" s="12" t="s">
        <v>88</v>
      </c>
      <c r="E57" s="180"/>
      <c r="F57" s="180"/>
      <c r="G57" s="180">
        <f t="shared" si="8"/>
        <v>0</v>
      </c>
      <c r="H57" s="180">
        <f t="shared" si="8"/>
        <v>0</v>
      </c>
      <c r="I57" s="180">
        <f t="shared" si="8"/>
        <v>0</v>
      </c>
      <c r="J57" s="180">
        <f t="shared" si="8"/>
        <v>0</v>
      </c>
      <c r="K57" s="180">
        <f t="shared" si="8"/>
        <v>0</v>
      </c>
      <c r="L57" s="180">
        <f t="shared" si="8"/>
        <v>0</v>
      </c>
      <c r="M57" s="180">
        <f t="shared" si="8"/>
        <v>0</v>
      </c>
      <c r="N57" s="180">
        <f t="shared" si="8"/>
        <v>0</v>
      </c>
      <c r="O57" s="180">
        <f t="shared" si="8"/>
        <v>0</v>
      </c>
      <c r="P57" s="126"/>
    </row>
    <row r="58" spans="2:16" x14ac:dyDescent="0.3">
      <c r="B58" s="125"/>
      <c r="C58" s="11">
        <v>33</v>
      </c>
      <c r="D58" s="12" t="s">
        <v>89</v>
      </c>
      <c r="E58" s="180"/>
      <c r="F58" s="180"/>
      <c r="G58" s="180">
        <f t="shared" si="8"/>
        <v>0</v>
      </c>
      <c r="H58" s="180">
        <f t="shared" si="8"/>
        <v>0</v>
      </c>
      <c r="I58" s="180">
        <f t="shared" si="8"/>
        <v>0</v>
      </c>
      <c r="J58" s="180">
        <f t="shared" si="8"/>
        <v>0</v>
      </c>
      <c r="K58" s="180">
        <f t="shared" si="8"/>
        <v>0</v>
      </c>
      <c r="L58" s="180">
        <f t="shared" si="8"/>
        <v>0</v>
      </c>
      <c r="M58" s="180">
        <f t="shared" si="8"/>
        <v>0</v>
      </c>
      <c r="N58" s="180">
        <f t="shared" si="8"/>
        <v>0</v>
      </c>
      <c r="O58" s="180">
        <f t="shared" si="8"/>
        <v>0</v>
      </c>
      <c r="P58" s="126"/>
    </row>
    <row r="59" spans="2:16" x14ac:dyDescent="0.3">
      <c r="B59" s="125"/>
      <c r="C59" s="11">
        <v>34</v>
      </c>
      <c r="D59" s="12" t="s">
        <v>90</v>
      </c>
      <c r="E59" s="180"/>
      <c r="F59" s="180"/>
      <c r="G59" s="180">
        <f t="shared" si="8"/>
        <v>0</v>
      </c>
      <c r="H59" s="180">
        <f t="shared" si="8"/>
        <v>0</v>
      </c>
      <c r="I59" s="180">
        <f t="shared" si="8"/>
        <v>0</v>
      </c>
      <c r="J59" s="180">
        <f t="shared" si="8"/>
        <v>0</v>
      </c>
      <c r="K59" s="180">
        <f t="shared" si="8"/>
        <v>0</v>
      </c>
      <c r="L59" s="180">
        <f t="shared" si="8"/>
        <v>0</v>
      </c>
      <c r="M59" s="180">
        <f t="shared" si="8"/>
        <v>0</v>
      </c>
      <c r="N59" s="180">
        <f t="shared" si="8"/>
        <v>0</v>
      </c>
      <c r="O59" s="180">
        <f t="shared" si="8"/>
        <v>0</v>
      </c>
      <c r="P59" s="126"/>
    </row>
    <row r="60" spans="2:16" x14ac:dyDescent="0.3">
      <c r="B60" s="125"/>
      <c r="C60" s="11">
        <v>35</v>
      </c>
      <c r="D60" s="12" t="s">
        <v>91</v>
      </c>
      <c r="E60" s="180"/>
      <c r="F60" s="180"/>
      <c r="G60" s="180">
        <f t="shared" si="8"/>
        <v>0</v>
      </c>
      <c r="H60" s="180">
        <f t="shared" si="8"/>
        <v>0</v>
      </c>
      <c r="I60" s="180">
        <f t="shared" si="8"/>
        <v>0</v>
      </c>
      <c r="J60" s="180">
        <f t="shared" si="8"/>
        <v>0</v>
      </c>
      <c r="K60" s="180">
        <f t="shared" si="8"/>
        <v>0</v>
      </c>
      <c r="L60" s="180">
        <f t="shared" si="8"/>
        <v>0</v>
      </c>
      <c r="M60" s="180">
        <f t="shared" si="8"/>
        <v>0</v>
      </c>
      <c r="N60" s="180">
        <f t="shared" si="8"/>
        <v>0</v>
      </c>
      <c r="O60" s="180">
        <f t="shared" si="8"/>
        <v>0</v>
      </c>
      <c r="P60" s="126"/>
    </row>
    <row r="61" spans="2:16" x14ac:dyDescent="0.3">
      <c r="B61" s="125"/>
      <c r="C61" s="11">
        <v>36</v>
      </c>
      <c r="D61" s="12" t="s">
        <v>92</v>
      </c>
      <c r="E61" s="180"/>
      <c r="F61" s="180"/>
      <c r="G61" s="180">
        <f t="shared" si="8"/>
        <v>0</v>
      </c>
      <c r="H61" s="180">
        <f t="shared" si="8"/>
        <v>0</v>
      </c>
      <c r="I61" s="180">
        <f t="shared" si="8"/>
        <v>0</v>
      </c>
      <c r="J61" s="180">
        <f t="shared" si="8"/>
        <v>0</v>
      </c>
      <c r="K61" s="180">
        <f t="shared" si="8"/>
        <v>0</v>
      </c>
      <c r="L61" s="180">
        <f t="shared" si="8"/>
        <v>0</v>
      </c>
      <c r="M61" s="180">
        <f t="shared" si="8"/>
        <v>0</v>
      </c>
      <c r="N61" s="180">
        <f t="shared" si="8"/>
        <v>0</v>
      </c>
      <c r="O61" s="180">
        <f t="shared" si="8"/>
        <v>0</v>
      </c>
      <c r="P61" s="126"/>
    </row>
    <row r="62" spans="2:16" x14ac:dyDescent="0.3">
      <c r="B62" s="125"/>
      <c r="C62" s="9">
        <v>37</v>
      </c>
      <c r="D62" s="10" t="s">
        <v>93</v>
      </c>
      <c r="E62" s="179"/>
      <c r="F62" s="179">
        <f>E62</f>
        <v>0</v>
      </c>
      <c r="G62" s="179">
        <f t="shared" si="8"/>
        <v>0</v>
      </c>
      <c r="H62" s="179">
        <f t="shared" si="8"/>
        <v>0</v>
      </c>
      <c r="I62" s="179">
        <f t="shared" si="8"/>
        <v>0</v>
      </c>
      <c r="J62" s="179">
        <f t="shared" si="8"/>
        <v>0</v>
      </c>
      <c r="K62" s="179">
        <f t="shared" si="8"/>
        <v>0</v>
      </c>
      <c r="L62" s="179">
        <f t="shared" si="8"/>
        <v>0</v>
      </c>
      <c r="M62" s="179">
        <f t="shared" si="8"/>
        <v>0</v>
      </c>
      <c r="N62" s="179">
        <f t="shared" si="8"/>
        <v>0</v>
      </c>
      <c r="O62" s="179">
        <f t="shared" si="8"/>
        <v>0</v>
      </c>
      <c r="P62" s="126"/>
    </row>
    <row r="63" spans="2:16" x14ac:dyDescent="0.3">
      <c r="B63" s="125"/>
      <c r="C63" s="6"/>
      <c r="E63" s="140"/>
      <c r="F63" s="140"/>
      <c r="G63" s="140"/>
      <c r="H63" s="140"/>
      <c r="I63" s="140"/>
      <c r="J63" s="140"/>
      <c r="K63" s="140"/>
      <c r="L63" s="140"/>
      <c r="M63" s="140"/>
      <c r="N63" s="140"/>
      <c r="O63" s="140"/>
      <c r="P63" s="126"/>
    </row>
    <row r="64" spans="2:16" x14ac:dyDescent="0.3">
      <c r="B64" s="125"/>
      <c r="C64" s="149" t="str">
        <f>VERSION</f>
        <v>Version 9.0</v>
      </c>
      <c r="E64" s="140"/>
      <c r="F64" s="140"/>
      <c r="G64" s="140"/>
      <c r="H64" s="140"/>
      <c r="I64" s="140"/>
      <c r="J64" s="140"/>
      <c r="K64" s="140"/>
      <c r="L64" s="140"/>
      <c r="M64" s="140"/>
      <c r="N64" s="140"/>
      <c r="O64" s="135">
        <f>'(3)Development Budget Input'!G71+1</f>
        <v>4</v>
      </c>
      <c r="P64" s="126"/>
    </row>
    <row r="65" spans="2:16" ht="14.5" thickBot="1" x14ac:dyDescent="0.35">
      <c r="B65" s="130"/>
      <c r="C65" s="131"/>
      <c r="D65" s="131"/>
      <c r="E65" s="131"/>
      <c r="F65" s="131"/>
      <c r="G65" s="131"/>
      <c r="H65" s="131"/>
      <c r="I65" s="131"/>
      <c r="J65" s="131"/>
      <c r="K65" s="131"/>
      <c r="L65" s="131"/>
      <c r="M65" s="131"/>
      <c r="N65" s="131"/>
      <c r="O65" s="131"/>
      <c r="P65" s="132"/>
    </row>
    <row r="66" spans="2:16" ht="14.5" thickTop="1" x14ac:dyDescent="0.3"/>
  </sheetData>
  <sheetProtection sheet="1" objects="1" scenarios="1" selectLockedCells="1"/>
  <mergeCells count="11">
    <mergeCell ref="J3:O5"/>
    <mergeCell ref="I8:L8"/>
    <mergeCell ref="I9:L9"/>
    <mergeCell ref="I7:L7"/>
    <mergeCell ref="C34:O34"/>
    <mergeCell ref="C7:G9"/>
    <mergeCell ref="C44:O44"/>
    <mergeCell ref="C54:O54"/>
    <mergeCell ref="C31:O33"/>
    <mergeCell ref="C10:O10"/>
    <mergeCell ref="C22:O22"/>
  </mergeCells>
  <printOptions horizontalCentered="1" verticalCentered="1"/>
  <pageMargins left="0" right="0" top="0" bottom="0" header="0" footer="0"/>
  <pageSetup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ADCF-114A-4610-9C4D-81A57529C011}">
  <sheetPr>
    <tabColor rgb="FF0070C0"/>
  </sheetPr>
  <dimension ref="B1:G72"/>
  <sheetViews>
    <sheetView showGridLines="0" showRowColHeaders="0" topLeftCell="D8" zoomScaleNormal="100" workbookViewId="0">
      <selection activeCell="C21" sqref="C21:E21"/>
    </sheetView>
  </sheetViews>
  <sheetFormatPr defaultColWidth="9.1796875" defaultRowHeight="14" x14ac:dyDescent="0.3"/>
  <cols>
    <col min="1" max="1" width="4.1796875" style="1" customWidth="1"/>
    <col min="2" max="2" width="4" style="1" customWidth="1"/>
    <col min="3" max="3" width="4" style="6" customWidth="1"/>
    <col min="4" max="4" width="96.6328125" style="1" bestFit="1" customWidth="1"/>
    <col min="5" max="5" width="21.453125" style="1" customWidth="1"/>
    <col min="6" max="6" width="9.1796875" style="1"/>
    <col min="7" max="7" width="4" style="1" customWidth="1"/>
    <col min="8" max="16384" width="9.1796875" style="1"/>
  </cols>
  <sheetData>
    <row r="1" spans="2:7" ht="14.5" thickBot="1" x14ac:dyDescent="0.35"/>
    <row r="2" spans="2:7" ht="15" customHeight="1" thickTop="1" x14ac:dyDescent="0.35">
      <c r="B2" s="110"/>
      <c r="C2" s="111"/>
      <c r="D2" s="111"/>
      <c r="E2" s="111"/>
      <c r="F2" s="111"/>
      <c r="G2" s="112"/>
    </row>
    <row r="3" spans="2:7" ht="15" customHeight="1" x14ac:dyDescent="0.7">
      <c r="B3" s="113"/>
      <c r="C3" s="114"/>
      <c r="D3" s="227" t="s">
        <v>98</v>
      </c>
      <c r="E3" s="227"/>
      <c r="F3" s="217"/>
      <c r="G3" s="115"/>
    </row>
    <row r="4" spans="2:7" ht="15" customHeight="1" x14ac:dyDescent="0.7">
      <c r="B4" s="113"/>
      <c r="C4" s="114"/>
      <c r="D4" s="227"/>
      <c r="E4" s="227"/>
      <c r="F4" s="217"/>
      <c r="G4" s="115"/>
    </row>
    <row r="5" spans="2:7" ht="15" customHeight="1" x14ac:dyDescent="0.7">
      <c r="B5" s="113"/>
      <c r="C5" s="114"/>
      <c r="D5" s="227"/>
      <c r="E5" s="227"/>
      <c r="F5" s="217"/>
      <c r="G5" s="115"/>
    </row>
    <row r="6" spans="2:7" ht="15" customHeight="1" thickBot="1" x14ac:dyDescent="0.4">
      <c r="B6" s="116"/>
      <c r="C6" s="117"/>
      <c r="D6" s="117"/>
      <c r="E6" s="117"/>
      <c r="F6" s="117"/>
      <c r="G6" s="118"/>
    </row>
    <row r="7" spans="2:7" ht="14.25" customHeight="1" thickTop="1" x14ac:dyDescent="0.3">
      <c r="B7" s="136"/>
      <c r="C7" s="219" t="s">
        <v>98</v>
      </c>
      <c r="D7" s="219"/>
      <c r="E7" s="219"/>
      <c r="F7" s="144"/>
      <c r="G7" s="142"/>
    </row>
    <row r="8" spans="2:7" ht="14.25" customHeight="1" x14ac:dyDescent="0.3">
      <c r="B8" s="125"/>
      <c r="C8" s="221"/>
      <c r="D8" s="221"/>
      <c r="E8" s="221"/>
      <c r="G8" s="126"/>
    </row>
    <row r="9" spans="2:7" ht="14.25" customHeight="1" x14ac:dyDescent="0.3">
      <c r="B9" s="125"/>
      <c r="C9" s="221"/>
      <c r="D9" s="221"/>
      <c r="E9" s="221"/>
      <c r="G9" s="126"/>
    </row>
    <row r="10" spans="2:7" x14ac:dyDescent="0.3">
      <c r="B10" s="125"/>
      <c r="C10" s="204" t="s">
        <v>1</v>
      </c>
      <c r="D10" s="205"/>
      <c r="E10" s="206"/>
      <c r="G10" s="126"/>
    </row>
    <row r="11" spans="2:7" x14ac:dyDescent="0.3">
      <c r="B11" s="125"/>
      <c r="C11" s="7">
        <v>1</v>
      </c>
      <c r="D11" s="8" t="s">
        <v>99</v>
      </c>
      <c r="E11" s="19">
        <f>'(2)Dev.-Inv. &amp; Lender Input'!E11</f>
        <v>0.15</v>
      </c>
      <c r="G11" s="126"/>
    </row>
    <row r="12" spans="2:7" x14ac:dyDescent="0.3">
      <c r="B12" s="125"/>
      <c r="C12" s="9">
        <v>2</v>
      </c>
      <c r="D12" s="10" t="s">
        <v>100</v>
      </c>
      <c r="E12" s="20">
        <f>'(2)Dev.-Inv. &amp; Lender Input'!E12</f>
        <v>1.4999999999999999E-2</v>
      </c>
      <c r="G12" s="126"/>
    </row>
    <row r="13" spans="2:7" x14ac:dyDescent="0.3">
      <c r="B13" s="125"/>
      <c r="E13" s="145"/>
      <c r="G13" s="126"/>
    </row>
    <row r="14" spans="2:7" x14ac:dyDescent="0.3">
      <c r="B14" s="125"/>
      <c r="C14" s="204" t="s">
        <v>101</v>
      </c>
      <c r="D14" s="205"/>
      <c r="E14" s="206"/>
      <c r="G14" s="126"/>
    </row>
    <row r="15" spans="2:7" x14ac:dyDescent="0.3">
      <c r="B15" s="125"/>
      <c r="C15" s="7">
        <v>3</v>
      </c>
      <c r="D15" s="8" t="s">
        <v>102</v>
      </c>
      <c r="E15" s="42">
        <f>'(3)Development Budget Input'!E11</f>
        <v>500000</v>
      </c>
      <c r="G15" s="126"/>
    </row>
    <row r="16" spans="2:7" x14ac:dyDescent="0.3">
      <c r="B16" s="125"/>
      <c r="C16" s="11">
        <v>4</v>
      </c>
      <c r="D16" s="12" t="s">
        <v>103</v>
      </c>
      <c r="E16" s="43">
        <f>'(3)Development Budget Input'!E12</f>
        <v>0</v>
      </c>
      <c r="G16" s="126"/>
    </row>
    <row r="17" spans="2:7" x14ac:dyDescent="0.3">
      <c r="B17" s="125"/>
      <c r="C17" s="11">
        <v>5</v>
      </c>
      <c r="D17" s="12" t="s">
        <v>104</v>
      </c>
      <c r="E17" s="43">
        <f>'(3)Development Budget Input'!E13</f>
        <v>0</v>
      </c>
      <c r="G17" s="126"/>
    </row>
    <row r="18" spans="2:7" x14ac:dyDescent="0.3">
      <c r="B18" s="125"/>
      <c r="C18" s="11">
        <v>6</v>
      </c>
      <c r="D18" s="12" t="s">
        <v>105</v>
      </c>
      <c r="E18" s="43">
        <f>E15+E16+E17</f>
        <v>500000</v>
      </c>
      <c r="G18" s="126"/>
    </row>
    <row r="19" spans="2:7" x14ac:dyDescent="0.3">
      <c r="B19" s="125"/>
      <c r="C19" s="9">
        <v>7</v>
      </c>
      <c r="D19" s="10" t="s">
        <v>106</v>
      </c>
      <c r="E19" s="44">
        <f>'(6)Development Budget'!I15</f>
        <v>1000000</v>
      </c>
      <c r="G19" s="126"/>
    </row>
    <row r="20" spans="2:7" x14ac:dyDescent="0.3">
      <c r="B20" s="125"/>
      <c r="E20" s="5"/>
      <c r="G20" s="126"/>
    </row>
    <row r="21" spans="2:7" x14ac:dyDescent="0.3">
      <c r="B21" s="125"/>
      <c r="C21" s="204" t="s">
        <v>107</v>
      </c>
      <c r="D21" s="205"/>
      <c r="E21" s="206"/>
      <c r="G21" s="126"/>
    </row>
    <row r="22" spans="2:7" x14ac:dyDescent="0.3">
      <c r="B22" s="125"/>
      <c r="C22" s="7">
        <v>8</v>
      </c>
      <c r="D22" s="8" t="s">
        <v>108</v>
      </c>
      <c r="E22" s="21">
        <f>'(6)Development Budget'!H22</f>
        <v>2626000</v>
      </c>
      <c r="G22" s="126"/>
    </row>
    <row r="23" spans="2:7" x14ac:dyDescent="0.3">
      <c r="B23" s="125"/>
      <c r="C23" s="11">
        <v>9</v>
      </c>
      <c r="D23" s="12" t="s">
        <v>109</v>
      </c>
      <c r="E23" s="22">
        <f>'(6)Development Budget'!H39</f>
        <v>658700</v>
      </c>
      <c r="G23" s="126"/>
    </row>
    <row r="24" spans="2:7" x14ac:dyDescent="0.3">
      <c r="B24" s="125"/>
      <c r="C24" s="11">
        <v>10</v>
      </c>
      <c r="D24" s="12" t="s">
        <v>110</v>
      </c>
      <c r="E24" s="22">
        <f>'(6)Development Budget'!H55</f>
        <v>17661000</v>
      </c>
      <c r="G24" s="126"/>
    </row>
    <row r="25" spans="2:7" x14ac:dyDescent="0.3">
      <c r="B25" s="125"/>
      <c r="C25" s="11">
        <v>11</v>
      </c>
      <c r="D25" s="12" t="s">
        <v>111</v>
      </c>
      <c r="E25" s="22">
        <f ca="1">'(6)Development Budget'!H68</f>
        <v>2286687.5</v>
      </c>
      <c r="G25" s="126"/>
    </row>
    <row r="26" spans="2:7" x14ac:dyDescent="0.3">
      <c r="B26" s="125"/>
      <c r="C26" s="11">
        <v>12</v>
      </c>
      <c r="D26" s="12" t="s">
        <v>112</v>
      </c>
      <c r="E26" s="22">
        <f>'(6)Development Budget'!H73</f>
        <v>825000</v>
      </c>
      <c r="G26" s="126"/>
    </row>
    <row r="27" spans="2:7" x14ac:dyDescent="0.3">
      <c r="B27" s="125"/>
      <c r="C27" s="29">
        <v>13</v>
      </c>
      <c r="D27" s="24" t="s">
        <v>113</v>
      </c>
      <c r="E27" s="25">
        <f ca="1">SUM(E22:E26)</f>
        <v>24057387.5</v>
      </c>
      <c r="G27" s="126"/>
    </row>
    <row r="28" spans="2:7" x14ac:dyDescent="0.3">
      <c r="B28" s="125"/>
      <c r="C28" s="30">
        <v>14</v>
      </c>
      <c r="D28" s="26" t="s">
        <v>114</v>
      </c>
      <c r="E28" s="28">
        <f>IF('(2)Dev.-Inv. &amp; Lender Input'!E34=0,0,ROUND('(9)Annual Cash Flow Projection'!E63/'(2)Dev.-Inv. &amp; Lender Input'!E34,-3))</f>
        <v>61241000</v>
      </c>
      <c r="G28" s="126"/>
    </row>
    <row r="29" spans="2:7" ht="15" customHeight="1" x14ac:dyDescent="0.3">
      <c r="B29" s="125"/>
      <c r="C29" s="228" t="s">
        <v>115</v>
      </c>
      <c r="D29" s="228"/>
      <c r="E29" s="228"/>
      <c r="G29" s="126"/>
    </row>
    <row r="30" spans="2:7" x14ac:dyDescent="0.3">
      <c r="B30" s="125"/>
      <c r="C30" s="228"/>
      <c r="D30" s="228"/>
      <c r="E30" s="228"/>
      <c r="G30" s="126"/>
    </row>
    <row r="31" spans="2:7" x14ac:dyDescent="0.3">
      <c r="B31" s="125"/>
      <c r="C31" s="229"/>
      <c r="D31" s="229"/>
      <c r="E31" s="229"/>
      <c r="G31" s="126"/>
    </row>
    <row r="32" spans="2:7" x14ac:dyDescent="0.3">
      <c r="B32" s="125"/>
      <c r="C32" s="204" t="s">
        <v>116</v>
      </c>
      <c r="D32" s="205"/>
      <c r="E32" s="206"/>
      <c r="G32" s="126"/>
    </row>
    <row r="33" spans="2:7" x14ac:dyDescent="0.3">
      <c r="B33" s="125"/>
      <c r="C33" s="7">
        <v>15</v>
      </c>
      <c r="D33" s="8" t="s">
        <v>117</v>
      </c>
      <c r="E33" s="21">
        <f>'(2)Dev.-Inv. &amp; Lender Input'!E15*'(5)Project Summary'!E28</f>
        <v>36744600</v>
      </c>
      <c r="G33" s="126"/>
    </row>
    <row r="34" spans="2:7" x14ac:dyDescent="0.3">
      <c r="B34" s="125"/>
      <c r="C34" s="11">
        <v>16</v>
      </c>
      <c r="D34" s="12" t="s">
        <v>118</v>
      </c>
      <c r="E34" s="22">
        <f>IF('(2)Dev.-Inv. &amp; Lender Input'!E20=0,0,-(PV('(2)Dev.-Inv. &amp; Lender Input'!E18/'(2)Dev.-Inv. &amp; Lender Input'!E20,'(2)Dev.-Inv. &amp; Lender Input'!E19*'(2)Dev.-Inv. &amp; Lender Input'!E20,'(9)Annual Cash Flow Projection'!E63/'(2)Dev.-Inv. &amp; Lender Input'!E16/'(2)Dev.-Inv. &amp; Lender Input'!E20,0,0)))</f>
        <v>72375999.999912143</v>
      </c>
      <c r="G34" s="126"/>
    </row>
    <row r="35" spans="2:7" x14ac:dyDescent="0.3">
      <c r="B35" s="125"/>
      <c r="C35" s="11">
        <v>17</v>
      </c>
      <c r="D35" s="12" t="s">
        <v>119</v>
      </c>
      <c r="E35" s="22">
        <f ca="1">'(6)Development Budget'!H74*(1-'(2)Dev.-Inv. &amp; Lender Input'!E17)</f>
        <v>19245910</v>
      </c>
      <c r="G35" s="126"/>
    </row>
    <row r="36" spans="2:7" x14ac:dyDescent="0.3">
      <c r="B36" s="125"/>
      <c r="C36" s="29">
        <v>18</v>
      </c>
      <c r="D36" s="24" t="s">
        <v>120</v>
      </c>
      <c r="E36" s="25">
        <f ca="1">ROUNDDOWN(IF('(2)Dev.-Inv. &amp; Lender Input'!E22=1,'(5)Project Summary'!E33,IF('(2)Dev.-Inv. &amp; Lender Input'!E22=2,'(5)Project Summary'!E34,'(5)Project Summary'!E35)),-3)</f>
        <v>19245000</v>
      </c>
      <c r="G36" s="126"/>
    </row>
    <row r="37" spans="2:7" x14ac:dyDescent="0.3">
      <c r="B37" s="125"/>
      <c r="C37" s="29">
        <v>19</v>
      </c>
      <c r="D37" s="24" t="s">
        <v>121</v>
      </c>
      <c r="E37" s="25">
        <f ca="1">IF('(2)Dev.-Inv. &amp; Lender Input'!E21&lt;10,'(2)Dev.-Inv. &amp; Lender Input'!E21*'(5)Project Summary'!E36/100,'(2)Dev.-Inv. &amp; Lender Input'!E21)</f>
        <v>192450</v>
      </c>
      <c r="G37" s="126"/>
    </row>
    <row r="38" spans="2:7" x14ac:dyDescent="0.3">
      <c r="B38" s="125"/>
      <c r="C38" s="30">
        <v>20</v>
      </c>
      <c r="D38" s="26" t="s">
        <v>122</v>
      </c>
      <c r="E38" s="27">
        <f>IF('(2)Dev.-Inv. &amp; Lender Input'!E20=0,0,(PMT('(2)Dev.-Inv. &amp; Lender Input'!E18/'(2)Dev.-Inv. &amp; Lender Input'!E20,'(2)Dev.-Inv. &amp; Lender Input'!E19*'(2)Dev.-Inv. &amp; Lender Input'!E20,-1,0,0))*'(2)Dev.-Inv. &amp; Lender Input'!E20)</f>
        <v>5.5000000000066773E-2</v>
      </c>
      <c r="G38" s="126"/>
    </row>
    <row r="39" spans="2:7" x14ac:dyDescent="0.3">
      <c r="B39" s="125"/>
      <c r="E39" s="146"/>
      <c r="G39" s="126"/>
    </row>
    <row r="40" spans="2:7" x14ac:dyDescent="0.3">
      <c r="B40" s="125"/>
      <c r="C40" s="204" t="s">
        <v>123</v>
      </c>
      <c r="D40" s="205"/>
      <c r="E40" s="206"/>
      <c r="G40" s="126"/>
    </row>
    <row r="41" spans="2:7" x14ac:dyDescent="0.3">
      <c r="B41" s="125"/>
      <c r="C41" s="7">
        <v>21</v>
      </c>
      <c r="D41" s="8" t="s">
        <v>117</v>
      </c>
      <c r="E41" s="21">
        <f>'(2)Dev.-Inv. &amp; Lender Input'!E25*'(5)Project Summary'!E28</f>
        <v>39806650</v>
      </c>
      <c r="G41" s="126"/>
    </row>
    <row r="42" spans="2:7" x14ac:dyDescent="0.3">
      <c r="B42" s="125"/>
      <c r="C42" s="11">
        <v>22</v>
      </c>
      <c r="D42" s="12" t="s">
        <v>118</v>
      </c>
      <c r="E42" s="22">
        <f>IF('(2)Dev.-Inv. &amp; Lender Input'!E29=0,0,-(PV('(2)Dev.-Inv. &amp; Lender Input'!E27/'(2)Dev.-Inv. &amp; Lender Input'!E29,'(2)Dev.-Inv. &amp; Lender Input'!E28*'(2)Dev.-Inv. &amp; Lender Input'!E29,'(9)Annual Cash Flow Projection'!E63/'(2)Dev.-Inv. &amp; Lender Input'!E26/'(2)Dev.-Inv. &amp; Lender Input'!E29,0,0)))</f>
        <v>51494965.787706465</v>
      </c>
      <c r="G42" s="126"/>
    </row>
    <row r="43" spans="2:7" x14ac:dyDescent="0.3">
      <c r="B43" s="125"/>
      <c r="C43" s="29">
        <v>23</v>
      </c>
      <c r="D43" s="24" t="s">
        <v>124</v>
      </c>
      <c r="E43" s="25">
        <f>ROUNDDOWN(IF('(2)Dev.-Inv. &amp; Lender Input'!E31=1,'(5)Project Summary'!E41,'(5)Project Summary'!E42),-3)</f>
        <v>39806000</v>
      </c>
      <c r="G43" s="126"/>
    </row>
    <row r="44" spans="2:7" x14ac:dyDescent="0.3">
      <c r="B44" s="125"/>
      <c r="C44" s="29">
        <v>24</v>
      </c>
      <c r="D44" s="24" t="s">
        <v>125</v>
      </c>
      <c r="E44" s="25">
        <f>IF('(2)Dev.-Inv. &amp; Lender Input'!E30&lt;10,'(2)Dev.-Inv. &amp; Lender Input'!E30*'(5)Project Summary'!E43,'(2)Dev.-Inv. &amp; Lender Input'!E30)</f>
        <v>398060</v>
      </c>
      <c r="G44" s="126"/>
    </row>
    <row r="45" spans="2:7" x14ac:dyDescent="0.3">
      <c r="B45" s="125"/>
      <c r="C45" s="30">
        <v>25</v>
      </c>
      <c r="D45" s="26" t="s">
        <v>126</v>
      </c>
      <c r="E45" s="27">
        <f>IF('(2)Dev.-Inv. &amp; Lender Input'!E29=0,0,(PMT('(2)Dev.-Inv. &amp; Lender Input'!E27/'(2)Dev.-Inv. &amp; Lender Input'!E29,'(2)Dev.-Inv. &amp; Lender Input'!E28*'(2)Dev.-Inv. &amp; Lender Input'!E29,-1,0,0))*'(2)Dev.-Inv. &amp; Lender Input'!E29)</f>
        <v>6.4418594761456699E-2</v>
      </c>
      <c r="G45" s="126"/>
    </row>
    <row r="46" spans="2:7" x14ac:dyDescent="0.3">
      <c r="B46" s="125"/>
      <c r="G46" s="126"/>
    </row>
    <row r="47" spans="2:7" x14ac:dyDescent="0.3">
      <c r="B47" s="125"/>
      <c r="G47" s="126"/>
    </row>
    <row r="48" spans="2:7" x14ac:dyDescent="0.3">
      <c r="B48" s="125"/>
      <c r="G48" s="126"/>
    </row>
    <row r="49" spans="2:7" x14ac:dyDescent="0.3">
      <c r="B49" s="125"/>
      <c r="G49" s="126"/>
    </row>
    <row r="50" spans="2:7" x14ac:dyDescent="0.3">
      <c r="B50" s="125"/>
      <c r="G50" s="126"/>
    </row>
    <row r="51" spans="2:7" x14ac:dyDescent="0.3">
      <c r="B51" s="125"/>
      <c r="G51" s="126"/>
    </row>
    <row r="52" spans="2:7" x14ac:dyDescent="0.3">
      <c r="B52" s="125"/>
      <c r="G52" s="126"/>
    </row>
    <row r="53" spans="2:7" x14ac:dyDescent="0.3">
      <c r="B53" s="125"/>
      <c r="G53" s="126"/>
    </row>
    <row r="54" spans="2:7" x14ac:dyDescent="0.3">
      <c r="B54" s="125"/>
      <c r="G54" s="126"/>
    </row>
    <row r="55" spans="2:7" x14ac:dyDescent="0.3">
      <c r="B55" s="125"/>
      <c r="G55" s="126"/>
    </row>
    <row r="56" spans="2:7" x14ac:dyDescent="0.3">
      <c r="B56" s="125"/>
      <c r="G56" s="126"/>
    </row>
    <row r="57" spans="2:7" x14ac:dyDescent="0.3">
      <c r="B57" s="125"/>
      <c r="G57" s="126"/>
    </row>
    <row r="58" spans="2:7" x14ac:dyDescent="0.3">
      <c r="B58" s="125"/>
      <c r="G58" s="126"/>
    </row>
    <row r="59" spans="2:7" x14ac:dyDescent="0.3">
      <c r="B59" s="125"/>
      <c r="G59" s="126"/>
    </row>
    <row r="60" spans="2:7" x14ac:dyDescent="0.3">
      <c r="B60" s="125"/>
      <c r="G60" s="126"/>
    </row>
    <row r="61" spans="2:7" x14ac:dyDescent="0.3">
      <c r="B61" s="125"/>
      <c r="G61" s="126"/>
    </row>
    <row r="62" spans="2:7" x14ac:dyDescent="0.3">
      <c r="B62" s="125"/>
      <c r="G62" s="126"/>
    </row>
    <row r="63" spans="2:7" x14ac:dyDescent="0.3">
      <c r="B63" s="125"/>
      <c r="G63" s="126"/>
    </row>
    <row r="64" spans="2:7" x14ac:dyDescent="0.3">
      <c r="B64" s="125"/>
      <c r="G64" s="126"/>
    </row>
    <row r="65" spans="2:7" x14ac:dyDescent="0.3">
      <c r="B65" s="125"/>
      <c r="G65" s="126"/>
    </row>
    <row r="66" spans="2:7" x14ac:dyDescent="0.3">
      <c r="B66" s="125"/>
      <c r="G66" s="126"/>
    </row>
    <row r="67" spans="2:7" x14ac:dyDescent="0.3">
      <c r="B67" s="125"/>
      <c r="G67" s="126"/>
    </row>
    <row r="68" spans="2:7" x14ac:dyDescent="0.3">
      <c r="B68" s="125"/>
      <c r="G68" s="126"/>
    </row>
    <row r="69" spans="2:7" x14ac:dyDescent="0.3">
      <c r="B69" s="125"/>
      <c r="G69" s="126"/>
    </row>
    <row r="70" spans="2:7" x14ac:dyDescent="0.3">
      <c r="B70" s="125"/>
      <c r="C70" s="149" t="str">
        <f>VERSION</f>
        <v>Version 9.0</v>
      </c>
      <c r="F70" s="135">
        <f>'(4)Income &amp; Expense Input'!O64+1</f>
        <v>5</v>
      </c>
      <c r="G70" s="126"/>
    </row>
    <row r="71" spans="2:7" ht="14.5" thickBot="1" x14ac:dyDescent="0.35">
      <c r="B71" s="147"/>
      <c r="C71" s="148"/>
      <c r="D71" s="131"/>
      <c r="E71" s="131"/>
      <c r="F71" s="131"/>
      <c r="G71" s="132"/>
    </row>
    <row r="72" spans="2:7" ht="14.5" thickTop="1" x14ac:dyDescent="0.3"/>
  </sheetData>
  <sheetProtection sheet="1" objects="1" scenarios="1" selectLockedCells="1"/>
  <mergeCells count="9">
    <mergeCell ref="F3:F5"/>
    <mergeCell ref="D3:E5"/>
    <mergeCell ref="C40:E40"/>
    <mergeCell ref="C29:E31"/>
    <mergeCell ref="C21:E21"/>
    <mergeCell ref="C14:E14"/>
    <mergeCell ref="C10:E10"/>
    <mergeCell ref="C32:E32"/>
    <mergeCell ref="C7:E9"/>
  </mergeCells>
  <printOptions horizontalCentered="1" verticalCentered="1"/>
  <pageMargins left="0" right="0" top="0" bottom="0" header="0" footer="0"/>
  <pageSetup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C06F-4DFE-4007-BE10-727A6CC69273}">
  <sheetPr>
    <tabColor rgb="FF0070C0"/>
  </sheetPr>
  <dimension ref="B1:K91"/>
  <sheetViews>
    <sheetView showGridLines="0" showRowColHeaders="0" topLeftCell="D11" zoomScaleNormal="100" zoomScaleSheetLayoutView="136" workbookViewId="0">
      <selection activeCell="G15" sqref="G15"/>
    </sheetView>
  </sheetViews>
  <sheetFormatPr defaultColWidth="9.1796875" defaultRowHeight="14" x14ac:dyDescent="0.3"/>
  <cols>
    <col min="1" max="2" width="4" style="1" customWidth="1"/>
    <col min="3" max="3" width="4" style="6" customWidth="1"/>
    <col min="4" max="4" width="68.1796875" style="1" customWidth="1"/>
    <col min="5" max="5" width="18.81640625" style="1" customWidth="1"/>
    <col min="6" max="6" width="18.81640625" style="2" customWidth="1"/>
    <col min="7" max="7" width="18.81640625" style="1" customWidth="1"/>
    <col min="8" max="9" width="18.81640625" style="5" customWidth="1"/>
    <col min="10" max="10" width="0.453125" style="1" customWidth="1"/>
    <col min="11" max="11" width="4" style="1" customWidth="1"/>
    <col min="12" max="16384" width="9.1796875" style="1"/>
  </cols>
  <sheetData>
    <row r="1" spans="2:11" ht="14.5" thickBot="1" x14ac:dyDescent="0.35"/>
    <row r="2" spans="2:11" ht="15" customHeight="1" thickTop="1" x14ac:dyDescent="0.35">
      <c r="B2" s="110"/>
      <c r="C2" s="111"/>
      <c r="D2" s="111"/>
      <c r="E2" s="111"/>
      <c r="F2" s="111"/>
      <c r="G2" s="111"/>
      <c r="H2" s="111"/>
      <c r="I2" s="111"/>
      <c r="J2" s="111"/>
      <c r="K2" s="112"/>
    </row>
    <row r="3" spans="2:11" ht="15" customHeight="1" x14ac:dyDescent="0.7">
      <c r="B3" s="113"/>
      <c r="C3" s="114"/>
      <c r="D3" s="114"/>
      <c r="E3" s="114"/>
      <c r="F3" s="227" t="s">
        <v>273</v>
      </c>
      <c r="G3" s="227"/>
      <c r="H3" s="227"/>
      <c r="I3" s="227"/>
      <c r="J3" s="227"/>
      <c r="K3" s="115"/>
    </row>
    <row r="4" spans="2:11" ht="15" customHeight="1" x14ac:dyDescent="0.7">
      <c r="B4" s="113"/>
      <c r="C4" s="114"/>
      <c r="D4" s="114"/>
      <c r="E4" s="114"/>
      <c r="F4" s="227"/>
      <c r="G4" s="227"/>
      <c r="H4" s="227"/>
      <c r="I4" s="227"/>
      <c r="J4" s="227"/>
      <c r="K4" s="115"/>
    </row>
    <row r="5" spans="2:11" ht="15" customHeight="1" x14ac:dyDescent="0.7">
      <c r="B5" s="113"/>
      <c r="C5" s="114"/>
      <c r="D5" s="114"/>
      <c r="E5" s="114"/>
      <c r="F5" s="227"/>
      <c r="G5" s="227"/>
      <c r="H5" s="227"/>
      <c r="I5" s="227"/>
      <c r="J5" s="227"/>
      <c r="K5" s="115"/>
    </row>
    <row r="6" spans="2:11" ht="15" customHeight="1" thickBot="1" x14ac:dyDescent="0.4">
      <c r="B6" s="116"/>
      <c r="C6" s="117"/>
      <c r="D6" s="117"/>
      <c r="E6" s="117"/>
      <c r="F6" s="117"/>
      <c r="G6" s="117"/>
      <c r="H6" s="117"/>
      <c r="I6" s="117"/>
      <c r="J6" s="117"/>
      <c r="K6" s="118"/>
    </row>
    <row r="7" spans="2:11" ht="15" customHeight="1" thickTop="1" x14ac:dyDescent="0.55000000000000004">
      <c r="B7" s="136"/>
      <c r="C7" s="219" t="s">
        <v>127</v>
      </c>
      <c r="D7" s="219"/>
      <c r="E7" s="219"/>
      <c r="F7" s="219"/>
      <c r="G7" s="219"/>
      <c r="H7" s="122"/>
      <c r="I7" s="122"/>
      <c r="J7" s="144"/>
      <c r="K7" s="142"/>
    </row>
    <row r="8" spans="2:11" ht="14.25" customHeight="1" x14ac:dyDescent="0.55000000000000004">
      <c r="B8" s="125"/>
      <c r="C8" s="221"/>
      <c r="D8" s="221"/>
      <c r="E8" s="221"/>
      <c r="F8" s="221"/>
      <c r="G8" s="221"/>
      <c r="H8" s="18"/>
      <c r="I8" s="18"/>
      <c r="K8" s="126"/>
    </row>
    <row r="9" spans="2:11" ht="14.25" customHeight="1" x14ac:dyDescent="0.55000000000000004">
      <c r="B9" s="125"/>
      <c r="C9" s="224"/>
      <c r="D9" s="224"/>
      <c r="E9" s="224"/>
      <c r="F9" s="224"/>
      <c r="G9" s="224"/>
      <c r="H9" s="18"/>
      <c r="I9" s="18"/>
      <c r="K9" s="126"/>
    </row>
    <row r="10" spans="2:11" x14ac:dyDescent="0.3">
      <c r="B10" s="125"/>
      <c r="C10" s="204" t="s">
        <v>21</v>
      </c>
      <c r="D10" s="205"/>
      <c r="E10" s="231"/>
      <c r="F10" s="231"/>
      <c r="G10" s="231"/>
      <c r="H10" s="231"/>
      <c r="I10" s="232"/>
      <c r="K10" s="126"/>
    </row>
    <row r="11" spans="2:11" x14ac:dyDescent="0.3">
      <c r="B11" s="125"/>
      <c r="C11" s="7">
        <v>1</v>
      </c>
      <c r="D11" s="8" t="s">
        <v>128</v>
      </c>
      <c r="E11" s="31"/>
      <c r="F11" s="45"/>
      <c r="G11" s="34"/>
      <c r="H11" s="21"/>
      <c r="I11" s="42">
        <f>'(3)Development Budget Input'!E11</f>
        <v>500000</v>
      </c>
      <c r="K11" s="126"/>
    </row>
    <row r="12" spans="2:11" x14ac:dyDescent="0.3">
      <c r="B12" s="125"/>
      <c r="C12" s="11">
        <v>2</v>
      </c>
      <c r="D12" s="12" t="s">
        <v>129</v>
      </c>
      <c r="E12" s="32"/>
      <c r="F12" s="46"/>
      <c r="G12" s="35"/>
      <c r="H12" s="22"/>
      <c r="I12" s="43">
        <f>'(3)Development Budget Input'!E12</f>
        <v>0</v>
      </c>
      <c r="K12" s="126"/>
    </row>
    <row r="13" spans="2:11" x14ac:dyDescent="0.3">
      <c r="B13" s="125"/>
      <c r="C13" s="11">
        <v>3</v>
      </c>
      <c r="D13" s="12" t="s">
        <v>130</v>
      </c>
      <c r="E13" s="32"/>
      <c r="F13" s="46"/>
      <c r="G13" s="35"/>
      <c r="H13" s="22"/>
      <c r="I13" s="43">
        <f>'(3)Development Budget Input'!E13</f>
        <v>0</v>
      </c>
      <c r="K13" s="126"/>
    </row>
    <row r="14" spans="2:11" x14ac:dyDescent="0.3">
      <c r="B14" s="125"/>
      <c r="C14" s="11">
        <v>4</v>
      </c>
      <c r="D14" s="12" t="s">
        <v>131</v>
      </c>
      <c r="E14" s="32"/>
      <c r="F14" s="46"/>
      <c r="G14" s="35"/>
      <c r="H14" s="22"/>
      <c r="I14" s="43">
        <f>SUM(I11:I13)</f>
        <v>500000</v>
      </c>
      <c r="K14" s="126"/>
    </row>
    <row r="15" spans="2:11" x14ac:dyDescent="0.3">
      <c r="B15" s="125"/>
      <c r="C15" s="9">
        <v>5</v>
      </c>
      <c r="D15" s="10" t="s">
        <v>132</v>
      </c>
      <c r="E15" s="33"/>
      <c r="F15" s="47"/>
      <c r="G15" s="36">
        <f>'(3)Development Budget Input'!E14</f>
        <v>22.956841138659321</v>
      </c>
      <c r="H15" s="23" t="s">
        <v>133</v>
      </c>
      <c r="I15" s="44">
        <f>IF(G15&gt;100,G15,43560*G15)</f>
        <v>1000000</v>
      </c>
      <c r="K15" s="126"/>
    </row>
    <row r="16" spans="2:11" ht="15" customHeight="1" x14ac:dyDescent="0.3">
      <c r="B16" s="125"/>
      <c r="C16" s="236" t="s">
        <v>134</v>
      </c>
      <c r="D16" s="236"/>
      <c r="E16" s="236"/>
      <c r="F16" s="236"/>
      <c r="G16" s="236"/>
      <c r="H16" s="236"/>
      <c r="I16" s="236"/>
      <c r="K16" s="126"/>
    </row>
    <row r="17" spans="2:11" x14ac:dyDescent="0.3">
      <c r="B17" s="125"/>
      <c r="C17" s="225"/>
      <c r="D17" s="225"/>
      <c r="E17" s="225"/>
      <c r="F17" s="225"/>
      <c r="G17" s="225"/>
      <c r="H17" s="225"/>
      <c r="I17" s="225"/>
      <c r="K17" s="126"/>
    </row>
    <row r="18" spans="2:11" x14ac:dyDescent="0.3">
      <c r="B18" s="125"/>
      <c r="C18" s="237"/>
      <c r="D18" s="237"/>
      <c r="E18" s="237"/>
      <c r="F18" s="237"/>
      <c r="G18" s="237"/>
      <c r="H18" s="237"/>
      <c r="I18" s="237"/>
      <c r="K18" s="126"/>
    </row>
    <row r="19" spans="2:11" x14ac:dyDescent="0.3">
      <c r="B19" s="125"/>
      <c r="C19" s="15" t="s">
        <v>135</v>
      </c>
      <c r="D19" s="50"/>
      <c r="E19" s="50"/>
      <c r="F19" s="51"/>
      <c r="G19" s="50"/>
      <c r="H19" s="52" t="s">
        <v>251</v>
      </c>
      <c r="I19" s="52" t="s">
        <v>136</v>
      </c>
      <c r="K19" s="126"/>
    </row>
    <row r="20" spans="2:11" x14ac:dyDescent="0.3">
      <c r="B20" s="125"/>
      <c r="C20" s="7">
        <v>6</v>
      </c>
      <c r="D20" s="8" t="s">
        <v>137</v>
      </c>
      <c r="E20" s="38">
        <f>'(3)Development Budget Input'!E17</f>
        <v>2.6</v>
      </c>
      <c r="F20" s="45" t="s">
        <v>138</v>
      </c>
      <c r="G20" s="34"/>
      <c r="H20" s="21">
        <f>IF(E20&lt;100,I15*E20,E20)</f>
        <v>2600000</v>
      </c>
      <c r="I20" s="38">
        <f>IF($I$14=0,0,H20/$I$14)</f>
        <v>5.2</v>
      </c>
      <c r="K20" s="126"/>
    </row>
    <row r="21" spans="2:11" x14ac:dyDescent="0.3">
      <c r="B21" s="125"/>
      <c r="C21" s="11">
        <v>7</v>
      </c>
      <c r="D21" s="12" t="s">
        <v>139</v>
      </c>
      <c r="E21" s="32"/>
      <c r="F21" s="46"/>
      <c r="G21" s="35"/>
      <c r="H21" s="22">
        <f>IF('(3)Development Budget Input'!E18&lt;20,'(3)Development Budget Input'!E18*'(6)Development Budget'!H20/100,'(3)Development Budget Input'!E18)</f>
        <v>26000</v>
      </c>
      <c r="I21" s="39">
        <f>IF($I$14=0,0,H21/$I$14)</f>
        <v>5.1999999999999998E-2</v>
      </c>
      <c r="K21" s="126"/>
    </row>
    <row r="22" spans="2:11" x14ac:dyDescent="0.3">
      <c r="B22" s="125"/>
      <c r="C22" s="9">
        <v>8</v>
      </c>
      <c r="D22" s="10" t="s">
        <v>140</v>
      </c>
      <c r="E22" s="33"/>
      <c r="F22" s="47"/>
      <c r="G22" s="37"/>
      <c r="H22" s="23">
        <f>SUM(H20:H21)</f>
        <v>2626000</v>
      </c>
      <c r="I22" s="40">
        <f>SUM(I20:I21)</f>
        <v>5.2519999999999998</v>
      </c>
      <c r="K22" s="126"/>
    </row>
    <row r="23" spans="2:11" x14ac:dyDescent="0.3">
      <c r="B23" s="125"/>
      <c r="K23" s="126"/>
    </row>
    <row r="24" spans="2:11" x14ac:dyDescent="0.3">
      <c r="B24" s="125"/>
      <c r="C24" s="230" t="s">
        <v>29</v>
      </c>
      <c r="D24" s="231"/>
      <c r="E24" s="231"/>
      <c r="F24" s="231"/>
      <c r="G24" s="231"/>
      <c r="H24" s="231"/>
      <c r="I24" s="232"/>
      <c r="K24" s="126"/>
    </row>
    <row r="25" spans="2:11" x14ac:dyDescent="0.3">
      <c r="B25" s="125"/>
      <c r="C25" s="7">
        <v>9</v>
      </c>
      <c r="D25" s="8" t="s">
        <v>30</v>
      </c>
      <c r="E25" s="31"/>
      <c r="F25" s="45"/>
      <c r="G25" s="34"/>
      <c r="H25" s="21">
        <f>'(3)Development Budget Input'!E21</f>
        <v>200000</v>
      </c>
      <c r="I25" s="38">
        <f>IF($I$14=0,0,H25/$I$14)</f>
        <v>0.4</v>
      </c>
      <c r="K25" s="126"/>
    </row>
    <row r="26" spans="2:11" x14ac:dyDescent="0.3">
      <c r="B26" s="125"/>
      <c r="C26" s="11">
        <v>10</v>
      </c>
      <c r="D26" s="12" t="s">
        <v>31</v>
      </c>
      <c r="E26" s="32"/>
      <c r="F26" s="46"/>
      <c r="G26" s="35"/>
      <c r="H26" s="22">
        <f>'(3)Development Budget Input'!E22</f>
        <v>110000</v>
      </c>
      <c r="I26" s="39">
        <f t="shared" ref="I26:I38" si="0">IF($I$14=0,0,H26/$I$14)</f>
        <v>0.22</v>
      </c>
      <c r="K26" s="126"/>
    </row>
    <row r="27" spans="2:11" x14ac:dyDescent="0.3">
      <c r="B27" s="125"/>
      <c r="C27" s="11">
        <v>11</v>
      </c>
      <c r="D27" s="12" t="s">
        <v>32</v>
      </c>
      <c r="E27" s="32"/>
      <c r="F27" s="46"/>
      <c r="G27" s="35"/>
      <c r="H27" s="22">
        <f>'(3)Development Budget Input'!E23</f>
        <v>20000</v>
      </c>
      <c r="I27" s="39">
        <f t="shared" si="0"/>
        <v>0.04</v>
      </c>
      <c r="K27" s="126"/>
    </row>
    <row r="28" spans="2:11" x14ac:dyDescent="0.3">
      <c r="B28" s="125"/>
      <c r="C28" s="11">
        <v>12</v>
      </c>
      <c r="D28" s="12" t="s">
        <v>33</v>
      </c>
      <c r="E28" s="32"/>
      <c r="F28" s="46"/>
      <c r="G28" s="35"/>
      <c r="H28" s="22">
        <f>'(3)Development Budget Input'!E24</f>
        <v>3200</v>
      </c>
      <c r="I28" s="39">
        <f t="shared" si="0"/>
        <v>6.4000000000000003E-3</v>
      </c>
      <c r="K28" s="126"/>
    </row>
    <row r="29" spans="2:11" x14ac:dyDescent="0.3">
      <c r="B29" s="125"/>
      <c r="C29" s="11">
        <v>13</v>
      </c>
      <c r="D29" s="12" t="s">
        <v>34</v>
      </c>
      <c r="E29" s="32"/>
      <c r="F29" s="46"/>
      <c r="G29" s="35"/>
      <c r="H29" s="22">
        <f>'(3)Development Budget Input'!E25</f>
        <v>14000</v>
      </c>
      <c r="I29" s="39">
        <f t="shared" si="0"/>
        <v>2.8000000000000001E-2</v>
      </c>
      <c r="K29" s="126"/>
    </row>
    <row r="30" spans="2:11" x14ac:dyDescent="0.3">
      <c r="B30" s="125"/>
      <c r="C30" s="11">
        <v>14</v>
      </c>
      <c r="D30" s="12" t="s">
        <v>35</v>
      </c>
      <c r="E30" s="32"/>
      <c r="F30" s="46"/>
      <c r="G30" s="35"/>
      <c r="H30" s="22">
        <f>'(3)Development Budget Input'!E26</f>
        <v>5000</v>
      </c>
      <c r="I30" s="39">
        <f t="shared" si="0"/>
        <v>0.01</v>
      </c>
      <c r="K30" s="126"/>
    </row>
    <row r="31" spans="2:11" x14ac:dyDescent="0.3">
      <c r="B31" s="125"/>
      <c r="C31" s="11">
        <v>15</v>
      </c>
      <c r="D31" s="12" t="s">
        <v>36</v>
      </c>
      <c r="E31" s="32"/>
      <c r="F31" s="46"/>
      <c r="G31" s="35"/>
      <c r="H31" s="22">
        <f>'(3)Development Budget Input'!E27</f>
        <v>14000</v>
      </c>
      <c r="I31" s="39">
        <f t="shared" si="0"/>
        <v>2.8000000000000001E-2</v>
      </c>
      <c r="K31" s="126"/>
    </row>
    <row r="32" spans="2:11" x14ac:dyDescent="0.3">
      <c r="B32" s="125"/>
      <c r="C32" s="11">
        <v>16</v>
      </c>
      <c r="D32" s="12" t="s">
        <v>37</v>
      </c>
      <c r="E32" s="32"/>
      <c r="F32" s="46"/>
      <c r="G32" s="35"/>
      <c r="H32" s="22">
        <f>'(3)Development Budget Input'!E28</f>
        <v>0</v>
      </c>
      <c r="I32" s="39">
        <f t="shared" si="0"/>
        <v>0</v>
      </c>
      <c r="K32" s="126"/>
    </row>
    <row r="33" spans="2:11" x14ac:dyDescent="0.3">
      <c r="B33" s="125"/>
      <c r="C33" s="11">
        <v>17</v>
      </c>
      <c r="D33" s="12" t="s">
        <v>38</v>
      </c>
      <c r="E33" s="32"/>
      <c r="F33" s="46"/>
      <c r="G33" s="35"/>
      <c r="H33" s="22">
        <f>'(3)Development Budget Input'!E29</f>
        <v>150000</v>
      </c>
      <c r="I33" s="39">
        <f t="shared" si="0"/>
        <v>0.3</v>
      </c>
      <c r="K33" s="126"/>
    </row>
    <row r="34" spans="2:11" x14ac:dyDescent="0.3">
      <c r="B34" s="125"/>
      <c r="C34" s="11">
        <v>18</v>
      </c>
      <c r="D34" s="12" t="s">
        <v>39</v>
      </c>
      <c r="E34" s="32"/>
      <c r="F34" s="46"/>
      <c r="G34" s="35"/>
      <c r="H34" s="22">
        <f>'(3)Development Budget Input'!E30</f>
        <v>0</v>
      </c>
      <c r="I34" s="39">
        <f t="shared" si="0"/>
        <v>0</v>
      </c>
      <c r="K34" s="126"/>
    </row>
    <row r="35" spans="2:11" x14ac:dyDescent="0.3">
      <c r="B35" s="125"/>
      <c r="C35" s="11">
        <v>19</v>
      </c>
      <c r="D35" s="12" t="s">
        <v>40</v>
      </c>
      <c r="E35" s="32"/>
      <c r="F35" s="46"/>
      <c r="G35" s="35"/>
      <c r="H35" s="22">
        <f>'(3)Development Budget Input'!E31</f>
        <v>0</v>
      </c>
      <c r="I35" s="39">
        <f t="shared" si="0"/>
        <v>0</v>
      </c>
      <c r="K35" s="126"/>
    </row>
    <row r="36" spans="2:11" x14ac:dyDescent="0.3">
      <c r="B36" s="125"/>
      <c r="C36" s="11">
        <v>20</v>
      </c>
      <c r="D36" s="12" t="s">
        <v>41</v>
      </c>
      <c r="E36" s="32"/>
      <c r="F36" s="46"/>
      <c r="G36" s="35"/>
      <c r="H36" s="22">
        <f>'(3)Development Budget Input'!E32</f>
        <v>75000</v>
      </c>
      <c r="I36" s="39">
        <f t="shared" si="0"/>
        <v>0.15</v>
      </c>
      <c r="K36" s="126"/>
    </row>
    <row r="37" spans="2:11" x14ac:dyDescent="0.3">
      <c r="B37" s="125"/>
      <c r="C37" s="11">
        <v>21</v>
      </c>
      <c r="D37" s="12" t="s">
        <v>42</v>
      </c>
      <c r="E37" s="32"/>
      <c r="F37" s="46"/>
      <c r="G37" s="35"/>
      <c r="H37" s="22">
        <f>'(3)Development Budget Input'!E33</f>
        <v>7500</v>
      </c>
      <c r="I37" s="39">
        <f t="shared" si="0"/>
        <v>1.4999999999999999E-2</v>
      </c>
      <c r="K37" s="126"/>
    </row>
    <row r="38" spans="2:11" x14ac:dyDescent="0.3">
      <c r="B38" s="125"/>
      <c r="C38" s="11">
        <v>22</v>
      </c>
      <c r="D38" s="12" t="s">
        <v>43</v>
      </c>
      <c r="E38" s="32"/>
      <c r="F38" s="46"/>
      <c r="G38" s="35"/>
      <c r="H38" s="22">
        <f>'(3)Development Budget Input'!E34</f>
        <v>60000</v>
      </c>
      <c r="I38" s="39">
        <f t="shared" si="0"/>
        <v>0.12</v>
      </c>
      <c r="K38" s="126"/>
    </row>
    <row r="39" spans="2:11" x14ac:dyDescent="0.3">
      <c r="B39" s="125"/>
      <c r="C39" s="9">
        <v>23</v>
      </c>
      <c r="D39" s="10" t="s">
        <v>141</v>
      </c>
      <c r="E39" s="33"/>
      <c r="F39" s="47"/>
      <c r="G39" s="37"/>
      <c r="H39" s="23">
        <f>SUM(H25:H38)</f>
        <v>658700</v>
      </c>
      <c r="I39" s="40">
        <f>SUM(I25:I38)</f>
        <v>1.3173999999999997</v>
      </c>
      <c r="K39" s="126"/>
    </row>
    <row r="40" spans="2:11" x14ac:dyDescent="0.3">
      <c r="B40" s="125"/>
      <c r="K40" s="126"/>
    </row>
    <row r="41" spans="2:11" x14ac:dyDescent="0.3">
      <c r="B41" s="125"/>
      <c r="C41" s="230" t="s">
        <v>44</v>
      </c>
      <c r="D41" s="231"/>
      <c r="E41" s="231"/>
      <c r="F41" s="231"/>
      <c r="G41" s="231"/>
      <c r="H41" s="231"/>
      <c r="I41" s="232"/>
      <c r="K41" s="126"/>
    </row>
    <row r="42" spans="2:11" x14ac:dyDescent="0.3">
      <c r="B42" s="125"/>
      <c r="C42" s="7">
        <v>24</v>
      </c>
      <c r="D42" s="8" t="s">
        <v>95</v>
      </c>
      <c r="E42" s="31"/>
      <c r="F42" s="45">
        <f>'(3)Development Budget Input'!E37</f>
        <v>29.5</v>
      </c>
      <c r="G42" s="34" t="s">
        <v>142</v>
      </c>
      <c r="H42" s="21">
        <f>F42*I11</f>
        <v>14750000</v>
      </c>
      <c r="I42" s="38">
        <f>IF($I$14=0,0,H42/$I$14)</f>
        <v>29.5</v>
      </c>
      <c r="K42" s="126"/>
    </row>
    <row r="43" spans="2:11" x14ac:dyDescent="0.3">
      <c r="B43" s="125"/>
      <c r="C43" s="11">
        <v>25</v>
      </c>
      <c r="D43" s="12" t="s">
        <v>96</v>
      </c>
      <c r="E43" s="32"/>
      <c r="F43" s="46">
        <f>'(3)Development Budget Input'!E38</f>
        <v>0</v>
      </c>
      <c r="G43" s="35" t="s">
        <v>142</v>
      </c>
      <c r="H43" s="22">
        <f>F43*I12</f>
        <v>0</v>
      </c>
      <c r="I43" s="39">
        <f t="shared" ref="I43:I54" si="1">IF($I$14=0,0,H43/$I$14)</f>
        <v>0</v>
      </c>
      <c r="K43" s="126"/>
    </row>
    <row r="44" spans="2:11" x14ac:dyDescent="0.3">
      <c r="B44" s="125"/>
      <c r="C44" s="11">
        <v>26</v>
      </c>
      <c r="D44" s="12" t="s">
        <v>97</v>
      </c>
      <c r="E44" s="32"/>
      <c r="F44" s="46">
        <f>'(3)Development Budget Input'!E39</f>
        <v>0</v>
      </c>
      <c r="G44" s="35" t="s">
        <v>142</v>
      </c>
      <c r="H44" s="22">
        <f>F44*I13</f>
        <v>0</v>
      </c>
      <c r="I44" s="39">
        <f t="shared" si="1"/>
        <v>0</v>
      </c>
      <c r="K44" s="126"/>
    </row>
    <row r="45" spans="2:11" x14ac:dyDescent="0.3">
      <c r="B45" s="125"/>
      <c r="C45" s="11">
        <v>27</v>
      </c>
      <c r="D45" s="12" t="s">
        <v>143</v>
      </c>
      <c r="E45" s="32"/>
      <c r="F45" s="46">
        <f>'(3)Development Budget Input'!E40</f>
        <v>4</v>
      </c>
      <c r="G45" s="35" t="s">
        <v>142</v>
      </c>
      <c r="H45" s="22">
        <f>F45*I14</f>
        <v>2000000</v>
      </c>
      <c r="I45" s="39">
        <f t="shared" si="1"/>
        <v>4</v>
      </c>
      <c r="K45" s="126"/>
    </row>
    <row r="46" spans="2:11" x14ac:dyDescent="0.3">
      <c r="B46" s="125"/>
      <c r="C46" s="11">
        <v>28</v>
      </c>
      <c r="D46" s="12" t="s">
        <v>144</v>
      </c>
      <c r="E46" s="32"/>
      <c r="F46" s="46"/>
      <c r="G46" s="35"/>
      <c r="H46" s="22">
        <f>'(3)Development Budget Input'!E41</f>
        <v>200000</v>
      </c>
      <c r="I46" s="39">
        <f t="shared" si="1"/>
        <v>0.4</v>
      </c>
      <c r="K46" s="126"/>
    </row>
    <row r="47" spans="2:11" x14ac:dyDescent="0.3">
      <c r="B47" s="125"/>
      <c r="C47" s="11">
        <v>29</v>
      </c>
      <c r="D47" s="12" t="s">
        <v>145</v>
      </c>
      <c r="E47" s="32"/>
      <c r="F47" s="46"/>
      <c r="G47" s="35"/>
      <c r="H47" s="22">
        <f>'(3)Development Budget Input'!E42</f>
        <v>0</v>
      </c>
      <c r="I47" s="39">
        <f t="shared" si="1"/>
        <v>0</v>
      </c>
      <c r="K47" s="126"/>
    </row>
    <row r="48" spans="2:11" x14ac:dyDescent="0.3">
      <c r="B48" s="125"/>
      <c r="C48" s="11">
        <v>30</v>
      </c>
      <c r="D48" s="12" t="s">
        <v>51</v>
      </c>
      <c r="E48" s="32"/>
      <c r="F48" s="46"/>
      <c r="G48" s="35"/>
      <c r="H48" s="22">
        <f>'(3)Development Budget Input'!E43</f>
        <v>0</v>
      </c>
      <c r="I48" s="39">
        <f t="shared" si="1"/>
        <v>0</v>
      </c>
      <c r="K48" s="126"/>
    </row>
    <row r="49" spans="2:11" x14ac:dyDescent="0.3">
      <c r="B49" s="125"/>
      <c r="C49" s="11">
        <v>31</v>
      </c>
      <c r="D49" s="12" t="s">
        <v>52</v>
      </c>
      <c r="E49" s="32"/>
      <c r="F49" s="46"/>
      <c r="G49" s="35"/>
      <c r="H49" s="22">
        <f>'(3)Development Budget Input'!E44</f>
        <v>15000</v>
      </c>
      <c r="I49" s="39">
        <f t="shared" si="1"/>
        <v>0.03</v>
      </c>
      <c r="K49" s="126"/>
    </row>
    <row r="50" spans="2:11" x14ac:dyDescent="0.3">
      <c r="B50" s="125"/>
      <c r="C50" s="11">
        <v>32</v>
      </c>
      <c r="D50" s="12" t="s">
        <v>53</v>
      </c>
      <c r="E50" s="32"/>
      <c r="F50" s="46"/>
      <c r="G50" s="35"/>
      <c r="H50" s="22">
        <f>'(3)Development Budget Input'!E45</f>
        <v>5000</v>
      </c>
      <c r="I50" s="39">
        <f t="shared" si="1"/>
        <v>0.01</v>
      </c>
      <c r="K50" s="126"/>
    </row>
    <row r="51" spans="2:11" x14ac:dyDescent="0.3">
      <c r="B51" s="125"/>
      <c r="C51" s="11">
        <v>33</v>
      </c>
      <c r="D51" s="12" t="s">
        <v>54</v>
      </c>
      <c r="E51" s="32"/>
      <c r="F51" s="46"/>
      <c r="G51" s="35"/>
      <c r="H51" s="22">
        <f>'(3)Development Budget Input'!E46</f>
        <v>241000</v>
      </c>
      <c r="I51" s="39">
        <f t="shared" si="1"/>
        <v>0.48199999999999998</v>
      </c>
      <c r="K51" s="126"/>
    </row>
    <row r="52" spans="2:11" x14ac:dyDescent="0.3">
      <c r="B52" s="125"/>
      <c r="C52" s="11">
        <v>34</v>
      </c>
      <c r="D52" s="12" t="s">
        <v>55</v>
      </c>
      <c r="E52" s="32"/>
      <c r="F52" s="46"/>
      <c r="G52" s="35"/>
      <c r="H52" s="22">
        <f>'(3)Development Budget Input'!E47</f>
        <v>150000</v>
      </c>
      <c r="I52" s="39">
        <f t="shared" si="1"/>
        <v>0.3</v>
      </c>
      <c r="K52" s="126"/>
    </row>
    <row r="53" spans="2:11" x14ac:dyDescent="0.3">
      <c r="B53" s="125"/>
      <c r="C53" s="11">
        <v>35</v>
      </c>
      <c r="D53" s="12" t="s">
        <v>56</v>
      </c>
      <c r="E53" s="32"/>
      <c r="F53" s="46"/>
      <c r="G53" s="35"/>
      <c r="H53" s="22">
        <f>'(3)Development Budget Input'!E48</f>
        <v>40000</v>
      </c>
      <c r="I53" s="39">
        <f t="shared" si="1"/>
        <v>0.08</v>
      </c>
      <c r="K53" s="126"/>
    </row>
    <row r="54" spans="2:11" x14ac:dyDescent="0.3">
      <c r="B54" s="125"/>
      <c r="C54" s="11">
        <v>36</v>
      </c>
      <c r="D54" s="12" t="s">
        <v>57</v>
      </c>
      <c r="E54" s="32"/>
      <c r="F54" s="46"/>
      <c r="G54" s="35"/>
      <c r="H54" s="22">
        <f>'(3)Development Budget Input'!E49</f>
        <v>260000</v>
      </c>
      <c r="I54" s="39">
        <f t="shared" si="1"/>
        <v>0.52</v>
      </c>
      <c r="K54" s="126"/>
    </row>
    <row r="55" spans="2:11" x14ac:dyDescent="0.3">
      <c r="B55" s="125"/>
      <c r="C55" s="9">
        <v>37</v>
      </c>
      <c r="D55" s="10" t="s">
        <v>146</v>
      </c>
      <c r="E55" s="33"/>
      <c r="F55" s="47"/>
      <c r="G55" s="37"/>
      <c r="H55" s="23">
        <f>SUM(H42:H54)</f>
        <v>17661000</v>
      </c>
      <c r="I55" s="40">
        <f>SUM(I42:I54)</f>
        <v>35.321999999999996</v>
      </c>
      <c r="K55" s="126"/>
    </row>
    <row r="56" spans="2:11" x14ac:dyDescent="0.3">
      <c r="B56" s="125"/>
      <c r="K56" s="126"/>
    </row>
    <row r="57" spans="2:11" x14ac:dyDescent="0.3">
      <c r="B57" s="125"/>
      <c r="C57" s="230" t="s">
        <v>58</v>
      </c>
      <c r="D57" s="231"/>
      <c r="E57" s="231"/>
      <c r="F57" s="231"/>
      <c r="G57" s="231"/>
      <c r="H57" s="231"/>
      <c r="I57" s="232"/>
      <c r="K57" s="126"/>
    </row>
    <row r="58" spans="2:11" x14ac:dyDescent="0.3">
      <c r="B58" s="125"/>
      <c r="C58" s="7">
        <v>38</v>
      </c>
      <c r="D58" s="8" t="s">
        <v>147</v>
      </c>
      <c r="E58" s="31"/>
      <c r="F58" s="45"/>
      <c r="G58" s="34"/>
      <c r="H58" s="21">
        <f ca="1">IF('(3)Development Budget Input'!E52&lt;10,'(3)Development Budget Input'!E52*'(6)Development Budget'!H74/100,'(3)Development Budget Input'!E52)</f>
        <v>0</v>
      </c>
      <c r="I58" s="38">
        <f ca="1">IF($I$14=0,0,H58/$I$14)</f>
        <v>0</v>
      </c>
      <c r="K58" s="126"/>
    </row>
    <row r="59" spans="2:11" x14ac:dyDescent="0.3">
      <c r="B59" s="125"/>
      <c r="C59" s="11">
        <v>39</v>
      </c>
      <c r="D59" s="12" t="s">
        <v>148</v>
      </c>
      <c r="E59" s="32"/>
      <c r="F59" s="46"/>
      <c r="G59" s="35"/>
      <c r="H59" s="22">
        <f ca="1">'(5)Project Summary'!E37</f>
        <v>192450</v>
      </c>
      <c r="I59" s="39">
        <f ca="1">IF($I$14=0,0,H59/$I$14)</f>
        <v>0.38490000000000002</v>
      </c>
      <c r="K59" s="126"/>
    </row>
    <row r="60" spans="2:11" x14ac:dyDescent="0.3">
      <c r="B60" s="125"/>
      <c r="C60" s="11">
        <v>40</v>
      </c>
      <c r="D60" s="12" t="s">
        <v>149</v>
      </c>
      <c r="E60" s="32"/>
      <c r="F60" s="46"/>
      <c r="G60" s="35"/>
      <c r="H60" s="22">
        <f ca="1">G82</f>
        <v>529237.5</v>
      </c>
      <c r="I60" s="39">
        <f t="shared" ref="I60:I67" ca="1" si="2">IF($I$14=0,0,H60/$I$14)</f>
        <v>1.0584750000000001</v>
      </c>
      <c r="K60" s="126"/>
    </row>
    <row r="61" spans="2:11" x14ac:dyDescent="0.3">
      <c r="B61" s="125"/>
      <c r="C61" s="11">
        <v>41</v>
      </c>
      <c r="D61" s="12" t="s">
        <v>64</v>
      </c>
      <c r="E61" s="32"/>
      <c r="F61" s="46"/>
      <c r="G61" s="35"/>
      <c r="H61" s="22">
        <f>'(3)Development Budget Input'!E57</f>
        <v>15000</v>
      </c>
      <c r="I61" s="39">
        <f t="shared" si="2"/>
        <v>0.03</v>
      </c>
      <c r="K61" s="126"/>
    </row>
    <row r="62" spans="2:11" x14ac:dyDescent="0.3">
      <c r="B62" s="125"/>
      <c r="C62" s="11">
        <v>42</v>
      </c>
      <c r="D62" s="12" t="s">
        <v>65</v>
      </c>
      <c r="E62" s="32"/>
      <c r="F62" s="46"/>
      <c r="G62" s="35"/>
      <c r="H62" s="22">
        <f>'(3)Development Budget Input'!E58</f>
        <v>30000</v>
      </c>
      <c r="I62" s="39">
        <f t="shared" si="2"/>
        <v>0.06</v>
      </c>
      <c r="K62" s="126"/>
    </row>
    <row r="63" spans="2:11" x14ac:dyDescent="0.3">
      <c r="B63" s="125"/>
      <c r="C63" s="11">
        <v>43</v>
      </c>
      <c r="D63" s="12" t="s">
        <v>150</v>
      </c>
      <c r="E63" s="32"/>
      <c r="F63" s="46">
        <f>IF('(3)Development Budget Input'!E59&lt;10,'(3)Development Budget Input'!E59,0)</f>
        <v>3</v>
      </c>
      <c r="G63" s="35" t="s">
        <v>142</v>
      </c>
      <c r="H63" s="22">
        <f>IF('(3)Development Budget Input'!E59&gt;10,'(3)Development Budget Input'!E59,'(3)Development Budget Input'!E59*'(6)Development Budget'!I11)</f>
        <v>1500000</v>
      </c>
      <c r="I63" s="39">
        <f t="shared" si="2"/>
        <v>3</v>
      </c>
      <c r="K63" s="126"/>
    </row>
    <row r="64" spans="2:11" x14ac:dyDescent="0.3">
      <c r="B64" s="125"/>
      <c r="C64" s="11">
        <v>44</v>
      </c>
      <c r="D64" s="12" t="s">
        <v>151</v>
      </c>
      <c r="E64" s="32"/>
      <c r="F64" s="46">
        <f>IF('(3)Development Budget Input'!E60&lt;10,'(3)Development Budget Input'!E60,0)</f>
        <v>0</v>
      </c>
      <c r="G64" s="35" t="s">
        <v>142</v>
      </c>
      <c r="H64" s="22">
        <f>IF('(3)Development Budget Input'!E60&gt;10,'(3)Development Budget Input'!E60,'(3)Development Budget Input'!E60*'(6)Development Budget'!I12)</f>
        <v>0</v>
      </c>
      <c r="I64" s="39">
        <f t="shared" si="2"/>
        <v>0</v>
      </c>
      <c r="K64" s="126"/>
    </row>
    <row r="65" spans="2:11" x14ac:dyDescent="0.3">
      <c r="B65" s="125"/>
      <c r="C65" s="11">
        <v>45</v>
      </c>
      <c r="D65" s="12" t="s">
        <v>152</v>
      </c>
      <c r="E65" s="32"/>
      <c r="F65" s="46">
        <f>IF('(3)Development Budget Input'!E61&lt;10,'(3)Development Budget Input'!E61,0)</f>
        <v>0</v>
      </c>
      <c r="G65" s="35" t="s">
        <v>142</v>
      </c>
      <c r="H65" s="22">
        <f>IF('(3)Development Budget Input'!E61&gt;10,'(3)Development Budget Input'!E61,'(3)Development Budget Input'!E61*'(6)Development Budget'!I13)</f>
        <v>0</v>
      </c>
      <c r="I65" s="39">
        <f t="shared" si="2"/>
        <v>0</v>
      </c>
      <c r="K65" s="126"/>
    </row>
    <row r="66" spans="2:11" x14ac:dyDescent="0.3">
      <c r="B66" s="125"/>
      <c r="C66" s="11">
        <v>46</v>
      </c>
      <c r="D66" s="12" t="s">
        <v>69</v>
      </c>
      <c r="E66" s="32"/>
      <c r="F66" s="46"/>
      <c r="G66" s="35"/>
      <c r="H66" s="22">
        <f>'(3)Development Budget Input'!E62</f>
        <v>10000</v>
      </c>
      <c r="I66" s="39">
        <f t="shared" si="2"/>
        <v>0.02</v>
      </c>
      <c r="K66" s="126"/>
    </row>
    <row r="67" spans="2:11" x14ac:dyDescent="0.3">
      <c r="B67" s="125"/>
      <c r="C67" s="11">
        <v>47</v>
      </c>
      <c r="D67" s="12" t="s">
        <v>70</v>
      </c>
      <c r="E67" s="32"/>
      <c r="F67" s="46"/>
      <c r="G67" s="35"/>
      <c r="H67" s="22">
        <f>'(3)Development Budget Input'!E63</f>
        <v>10000</v>
      </c>
      <c r="I67" s="39">
        <f t="shared" si="2"/>
        <v>0.02</v>
      </c>
      <c r="K67" s="126"/>
    </row>
    <row r="68" spans="2:11" x14ac:dyDescent="0.3">
      <c r="B68" s="125"/>
      <c r="C68" s="30">
        <v>48</v>
      </c>
      <c r="D68" s="26" t="s">
        <v>153</v>
      </c>
      <c r="E68" s="165"/>
      <c r="F68" s="166"/>
      <c r="G68" s="167"/>
      <c r="H68" s="28">
        <f ca="1">SUM(H58:H67)</f>
        <v>2286687.5</v>
      </c>
      <c r="I68" s="168">
        <f ca="1">SUM(I58:I67)</f>
        <v>4.5733749999999995</v>
      </c>
      <c r="K68" s="126"/>
    </row>
    <row r="69" spans="2:11" x14ac:dyDescent="0.3">
      <c r="B69" s="125"/>
      <c r="K69" s="126"/>
    </row>
    <row r="70" spans="2:11" x14ac:dyDescent="0.3">
      <c r="B70" s="125"/>
      <c r="C70" s="230" t="s">
        <v>154</v>
      </c>
      <c r="D70" s="231"/>
      <c r="E70" s="231"/>
      <c r="F70" s="231"/>
      <c r="G70" s="231"/>
      <c r="H70" s="231"/>
      <c r="I70" s="232"/>
      <c r="K70" s="126"/>
    </row>
    <row r="71" spans="2:11" x14ac:dyDescent="0.3">
      <c r="B71" s="125"/>
      <c r="C71" s="7">
        <v>49</v>
      </c>
      <c r="D71" s="8" t="s">
        <v>72</v>
      </c>
      <c r="E71" s="31"/>
      <c r="F71" s="45"/>
      <c r="G71" s="34"/>
      <c r="H71" s="21">
        <f>'(3)Development Budget Input'!E66</f>
        <v>375000</v>
      </c>
      <c r="I71" s="38">
        <f>IF($I$14=0,0,H71/$I$14)</f>
        <v>0.75</v>
      </c>
      <c r="K71" s="126"/>
    </row>
    <row r="72" spans="2:11" x14ac:dyDescent="0.3">
      <c r="B72" s="125"/>
      <c r="C72" s="11">
        <v>50</v>
      </c>
      <c r="D72" s="12" t="s">
        <v>73</v>
      </c>
      <c r="E72" s="32"/>
      <c r="F72" s="46"/>
      <c r="G72" s="35"/>
      <c r="H72" s="22">
        <f>'(3)Development Budget Input'!E67</f>
        <v>450000</v>
      </c>
      <c r="I72" s="39">
        <f>IF($I$14=0,0,H72/$I$14)</f>
        <v>0.9</v>
      </c>
      <c r="K72" s="126"/>
    </row>
    <row r="73" spans="2:11" x14ac:dyDescent="0.3">
      <c r="B73" s="125"/>
      <c r="C73" s="29">
        <v>51</v>
      </c>
      <c r="D73" s="24" t="s">
        <v>155</v>
      </c>
      <c r="E73" s="162"/>
      <c r="F73" s="163"/>
      <c r="G73" s="164"/>
      <c r="H73" s="25">
        <f>SUM(H71:H72)</f>
        <v>825000</v>
      </c>
      <c r="I73" s="61">
        <f>SUM(I71:I72)</f>
        <v>1.65</v>
      </c>
      <c r="K73" s="126"/>
    </row>
    <row r="74" spans="2:11" x14ac:dyDescent="0.3">
      <c r="B74" s="125"/>
      <c r="C74" s="29">
        <v>52</v>
      </c>
      <c r="D74" s="24" t="s">
        <v>156</v>
      </c>
      <c r="E74" s="162"/>
      <c r="F74" s="163"/>
      <c r="G74" s="164"/>
      <c r="H74" s="25">
        <f ca="1">H22+H39+H55+H68+H73</f>
        <v>24057387.5</v>
      </c>
      <c r="I74" s="61">
        <f ca="1">I73+I68+I55+I39+I22</f>
        <v>48.114774999999995</v>
      </c>
      <c r="K74" s="126"/>
    </row>
    <row r="75" spans="2:11" x14ac:dyDescent="0.3">
      <c r="B75" s="125"/>
      <c r="C75" s="29">
        <v>53</v>
      </c>
      <c r="D75" s="24" t="s">
        <v>157</v>
      </c>
      <c r="E75" s="162"/>
      <c r="F75" s="163"/>
      <c r="G75" s="164"/>
      <c r="H75" s="25">
        <f ca="1">'(5)Project Summary'!E36</f>
        <v>19245000</v>
      </c>
      <c r="I75" s="61">
        <f ca="1">IF($I$14=0,0,H75/$I$14)</f>
        <v>38.49</v>
      </c>
      <c r="K75" s="126"/>
    </row>
    <row r="76" spans="2:11" x14ac:dyDescent="0.3">
      <c r="B76" s="125"/>
      <c r="C76" s="30">
        <v>54</v>
      </c>
      <c r="D76" s="26" t="s">
        <v>158</v>
      </c>
      <c r="E76" s="165"/>
      <c r="F76" s="166"/>
      <c r="G76" s="167"/>
      <c r="H76" s="28">
        <f ca="1">H74-H75</f>
        <v>4812387.5</v>
      </c>
      <c r="I76" s="168">
        <f ca="1">IF($I$14=0,0,H76/$I$14)</f>
        <v>9.6247749999999996</v>
      </c>
      <c r="K76" s="126"/>
    </row>
    <row r="77" spans="2:11" x14ac:dyDescent="0.3">
      <c r="B77" s="125"/>
      <c r="K77" s="126"/>
    </row>
    <row r="78" spans="2:11" x14ac:dyDescent="0.3">
      <c r="B78" s="125"/>
      <c r="C78" s="233" t="s">
        <v>159</v>
      </c>
      <c r="D78" s="234"/>
      <c r="E78" s="235"/>
      <c r="F78" s="49" t="s">
        <v>250</v>
      </c>
      <c r="G78" s="14" t="s">
        <v>160</v>
      </c>
      <c r="K78" s="126"/>
    </row>
    <row r="79" spans="2:11" x14ac:dyDescent="0.3">
      <c r="B79" s="125"/>
      <c r="C79" s="7">
        <v>55</v>
      </c>
      <c r="D79" s="8" t="s">
        <v>161</v>
      </c>
      <c r="E79" s="21">
        <f ca="1">H76</f>
        <v>4812387.5</v>
      </c>
      <c r="F79" s="19"/>
      <c r="G79" s="21"/>
      <c r="K79" s="126"/>
    </row>
    <row r="80" spans="2:11" x14ac:dyDescent="0.3">
      <c r="B80" s="125"/>
      <c r="C80" s="11">
        <v>56</v>
      </c>
      <c r="D80" s="12" t="s">
        <v>162</v>
      </c>
      <c r="E80" s="22">
        <f ca="1">IF(((H22+H39)-E79)&lt;0,0,((H22+H39)-E79))</f>
        <v>0</v>
      </c>
      <c r="F80" s="48">
        <f>'(3)Development Budget Input'!E54</f>
        <v>1</v>
      </c>
      <c r="G80" s="22">
        <f ca="1">E80*F80*E82/12*E83</f>
        <v>0</v>
      </c>
      <c r="K80" s="126"/>
    </row>
    <row r="81" spans="2:11" x14ac:dyDescent="0.3">
      <c r="B81" s="125"/>
      <c r="C81" s="11">
        <v>57</v>
      </c>
      <c r="D81" s="12" t="s">
        <v>163</v>
      </c>
      <c r="E81" s="22">
        <f ca="1">H75-E80</f>
        <v>19245000</v>
      </c>
      <c r="F81" s="48">
        <f>'(3)Development Budget Input'!E55</f>
        <v>0.5</v>
      </c>
      <c r="G81" s="22">
        <f ca="1">E81*F81*E82/12*E83</f>
        <v>529237.5</v>
      </c>
      <c r="K81" s="126"/>
    </row>
    <row r="82" spans="2:11" x14ac:dyDescent="0.3">
      <c r="B82" s="125"/>
      <c r="C82" s="11">
        <v>58</v>
      </c>
      <c r="D82" s="12" t="s">
        <v>164</v>
      </c>
      <c r="E82" s="48">
        <f>'(2)Dev.-Inv. &amp; Lender Input'!E18</f>
        <v>5.5E-2</v>
      </c>
      <c r="F82" s="48"/>
      <c r="G82" s="22">
        <f ca="1">G80+G81</f>
        <v>529237.5</v>
      </c>
      <c r="K82" s="126"/>
    </row>
    <row r="83" spans="2:11" x14ac:dyDescent="0.3">
      <c r="B83" s="125"/>
      <c r="C83" s="9">
        <v>59</v>
      </c>
      <c r="D83" s="10" t="s">
        <v>63</v>
      </c>
      <c r="E83" s="33">
        <f>'(3)Development Budget Input'!E56</f>
        <v>12</v>
      </c>
      <c r="F83" s="20"/>
      <c r="G83" s="23"/>
      <c r="K83" s="126"/>
    </row>
    <row r="84" spans="2:11" x14ac:dyDescent="0.3">
      <c r="B84" s="125"/>
      <c r="K84" s="126"/>
    </row>
    <row r="85" spans="2:11" x14ac:dyDescent="0.3">
      <c r="B85" s="125"/>
      <c r="K85" s="126"/>
    </row>
    <row r="86" spans="2:11" x14ac:dyDescent="0.3">
      <c r="B86" s="125"/>
      <c r="K86" s="126"/>
    </row>
    <row r="87" spans="2:11" x14ac:dyDescent="0.3">
      <c r="B87" s="125"/>
      <c r="K87" s="126"/>
    </row>
    <row r="88" spans="2:11" x14ac:dyDescent="0.3">
      <c r="B88" s="125"/>
      <c r="K88" s="126"/>
    </row>
    <row r="89" spans="2:11" x14ac:dyDescent="0.3">
      <c r="B89" s="125"/>
      <c r="C89" s="1" t="str">
        <f>VERSION</f>
        <v>Version 9.0</v>
      </c>
      <c r="I89" s="135">
        <f>'(5)Project Summary'!F70+1</f>
        <v>6</v>
      </c>
      <c r="K89" s="126"/>
    </row>
    <row r="90" spans="2:11" ht="14.5" thickBot="1" x14ac:dyDescent="0.35">
      <c r="B90" s="147"/>
      <c r="C90" s="148"/>
      <c r="D90" s="131"/>
      <c r="E90" s="131"/>
      <c r="F90" s="150"/>
      <c r="G90" s="131"/>
      <c r="H90" s="151"/>
      <c r="I90" s="151"/>
      <c r="J90" s="131"/>
      <c r="K90" s="132"/>
    </row>
    <row r="91" spans="2:11" ht="14.5" thickTop="1" x14ac:dyDescent="0.3"/>
  </sheetData>
  <sheetProtection selectLockedCells="1"/>
  <mergeCells count="9">
    <mergeCell ref="C7:G9"/>
    <mergeCell ref="F3:J5"/>
    <mergeCell ref="C70:I70"/>
    <mergeCell ref="C78:E78"/>
    <mergeCell ref="C16:I18"/>
    <mergeCell ref="C10:I10"/>
    <mergeCell ref="C24:I24"/>
    <mergeCell ref="C41:I41"/>
    <mergeCell ref="C57:I57"/>
  </mergeCells>
  <printOptions horizontalCentered="1" verticalCentered="1"/>
  <pageMargins left="0" right="0" top="0" bottom="0" header="0" footer="0"/>
  <pageSetup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0C94-F2F3-416B-AE74-025C5C54B61C}">
  <sheetPr>
    <tabColor rgb="FFFFC000"/>
  </sheetPr>
  <dimension ref="B1:X73"/>
  <sheetViews>
    <sheetView showGridLines="0" showRowColHeaders="0" topLeftCell="E3" zoomScale="115" zoomScaleNormal="115" zoomScaleSheetLayoutView="100" workbookViewId="0">
      <selection activeCell="N1" sqref="N1:X1048576"/>
    </sheetView>
  </sheetViews>
  <sheetFormatPr defaultColWidth="9.1796875" defaultRowHeight="14" x14ac:dyDescent="0.3"/>
  <cols>
    <col min="1" max="1" width="4" style="1" customWidth="1"/>
    <col min="2" max="2" width="3.81640625" style="1" customWidth="1"/>
    <col min="3" max="4" width="4" style="6" customWidth="1"/>
    <col min="5" max="5" width="40.81640625" style="1" customWidth="1"/>
    <col min="6" max="6" width="15.6328125" style="1" customWidth="1"/>
    <col min="7" max="7" width="4" style="1" customWidth="1"/>
    <col min="8" max="9" width="4" style="6" customWidth="1"/>
    <col min="10" max="10" width="40.81640625" style="1" customWidth="1"/>
    <col min="11" max="11" width="15.6328125" style="1" customWidth="1"/>
    <col min="12" max="12" width="3.81640625" style="1" customWidth="1"/>
    <col min="13" max="13" width="9.36328125" style="1" bestFit="1" customWidth="1"/>
    <col min="14" max="14" width="8.6328125" style="1" hidden="1" customWidth="1"/>
    <col min="15" max="18" width="14.6328125" style="1" hidden="1" customWidth="1"/>
    <col min="19" max="20" width="2.6328125" style="1" hidden="1" customWidth="1"/>
    <col min="21" max="21" width="9.1796875" style="1" hidden="1" customWidth="1"/>
    <col min="22" max="22" width="14.81640625" style="1" hidden="1" customWidth="1"/>
    <col min="23" max="23" width="9.1796875" style="1" hidden="1" customWidth="1"/>
    <col min="24" max="24" width="2.6328125" style="1" hidden="1" customWidth="1"/>
    <col min="25" max="16384" width="9.1796875" style="1"/>
  </cols>
  <sheetData>
    <row r="1" spans="2:24" ht="14.5" thickBot="1" x14ac:dyDescent="0.35"/>
    <row r="2" spans="2:24" ht="15" customHeight="1" thickTop="1" x14ac:dyDescent="0.35">
      <c r="B2" s="110"/>
      <c r="C2" s="111"/>
      <c r="D2" s="111"/>
      <c r="E2" s="111"/>
      <c r="F2" s="111"/>
      <c r="G2" s="111"/>
      <c r="H2" s="111"/>
      <c r="I2" s="111"/>
      <c r="J2" s="111"/>
      <c r="K2" s="111"/>
      <c r="L2" s="112"/>
      <c r="N2" s="6"/>
      <c r="O2" s="6">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8.7200000000000006</v>
      </c>
      <c r="S2" s="6"/>
      <c r="T2" s="6"/>
      <c r="V2" s="1">
        <f>'(9)Annual Cash Flow Projection'!E15</f>
        <v>4360000</v>
      </c>
      <c r="X2" s="1">
        <v>0</v>
      </c>
    </row>
    <row r="3" spans="2:24" ht="15" customHeight="1" x14ac:dyDescent="0.7">
      <c r="B3" s="113"/>
      <c r="C3" s="114"/>
      <c r="D3" s="114"/>
      <c r="E3" s="114"/>
      <c r="F3" s="114"/>
      <c r="G3" s="227" t="s">
        <v>292</v>
      </c>
      <c r="H3" s="227"/>
      <c r="I3" s="227"/>
      <c r="J3" s="227"/>
      <c r="K3" s="227"/>
      <c r="L3" s="115"/>
      <c r="N3" s="6"/>
      <c r="O3" s="6">
        <f>IF('(9)Annual Cash Flow Projection'!E15=0,0,('(9)Annual Cash Flow Projection'!E15-'(9)Annual Cash Flow Projection'!E19)/'(9)Annual Cash Flow Projection'!E15)</f>
        <v>8.6999999999999994E-2</v>
      </c>
      <c r="Q3" s="1">
        <f ca="1">IF(O8=0,0,(O8-O16)/O8)</f>
        <v>0.5390261197233146</v>
      </c>
      <c r="S3" s="6"/>
      <c r="T3" s="6"/>
      <c r="V3" s="2">
        <f>SUM('(9)Annual Cash Flow Projection'!E16:E18)</f>
        <v>379320</v>
      </c>
      <c r="X3" s="1">
        <v>0</v>
      </c>
    </row>
    <row r="4" spans="2:24" ht="15" customHeight="1" x14ac:dyDescent="0.7">
      <c r="B4" s="113"/>
      <c r="C4" s="114"/>
      <c r="D4" s="114"/>
      <c r="E4" s="114"/>
      <c r="F4" s="114"/>
      <c r="G4" s="227"/>
      <c r="H4" s="227"/>
      <c r="I4" s="227"/>
      <c r="J4" s="227"/>
      <c r="K4" s="227"/>
      <c r="L4" s="115"/>
      <c r="N4" s="6"/>
      <c r="O4" s="6">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8.6999999999999994E-2</v>
      </c>
      <c r="S4" s="6"/>
      <c r="T4" s="6"/>
      <c r="V4" s="1">
        <f>V2-V3</f>
        <v>3980680</v>
      </c>
      <c r="X4" s="1">
        <v>0</v>
      </c>
    </row>
    <row r="5" spans="2:24" ht="15" customHeight="1" x14ac:dyDescent="0.7">
      <c r="B5" s="113"/>
      <c r="C5" s="114"/>
      <c r="D5" s="114"/>
      <c r="E5" s="114"/>
      <c r="F5" s="114"/>
      <c r="G5" s="227"/>
      <c r="H5" s="227"/>
      <c r="I5" s="227"/>
      <c r="J5" s="227"/>
      <c r="K5" s="227"/>
      <c r="L5" s="115"/>
      <c r="N5" s="6">
        <f>O43</f>
        <v>500000</v>
      </c>
      <c r="O5" s="54">
        <f>'(4)Income &amp; Expense Input'!E13</f>
        <v>8.7200000000000006</v>
      </c>
      <c r="P5" s="1">
        <f>N5*O5</f>
        <v>4360000</v>
      </c>
      <c r="S5" s="6"/>
      <c r="T5" s="6"/>
      <c r="V5" s="2">
        <f>SUM('(9)Annual Cash Flow Projection'!E25:E31)+SUM('(9)Annual Cash Flow Projection'!E35:E41)+SUM('(9)Annual Cash Flow Projection'!E45:E51)</f>
        <v>0</v>
      </c>
      <c r="X5" s="1">
        <v>0</v>
      </c>
    </row>
    <row r="6" spans="2:24" ht="15" customHeight="1" thickBot="1" x14ac:dyDescent="0.4">
      <c r="B6" s="116"/>
      <c r="C6" s="117"/>
      <c r="D6" s="117"/>
      <c r="E6" s="117"/>
      <c r="F6" s="117"/>
      <c r="G6" s="117"/>
      <c r="H6" s="117"/>
      <c r="I6" s="117"/>
      <c r="J6" s="117"/>
      <c r="K6" s="117"/>
      <c r="L6" s="118"/>
      <c r="N6" s="6">
        <f>O44</f>
        <v>0</v>
      </c>
      <c r="O6" s="54">
        <f>'(4)Income &amp; Expense Input'!E16</f>
        <v>0</v>
      </c>
      <c r="P6" s="1">
        <f>N6*O6</f>
        <v>0</v>
      </c>
      <c r="S6" s="6"/>
      <c r="T6" s="6"/>
      <c r="V6" s="1">
        <f>V4+V5</f>
        <v>3980680</v>
      </c>
      <c r="X6" s="1">
        <v>0</v>
      </c>
    </row>
    <row r="7" spans="2:24" ht="15" customHeight="1" thickTop="1" x14ac:dyDescent="0.55000000000000004">
      <c r="B7" s="136"/>
      <c r="C7" s="219" t="s">
        <v>165</v>
      </c>
      <c r="D7" s="219"/>
      <c r="E7" s="219"/>
      <c r="F7" s="219"/>
      <c r="G7" s="219"/>
      <c r="H7" s="122"/>
      <c r="I7" s="122"/>
      <c r="J7" s="122"/>
      <c r="K7" s="122"/>
      <c r="L7" s="142"/>
      <c r="N7" s="6">
        <f>O45</f>
        <v>0</v>
      </c>
      <c r="O7" s="54">
        <f>'(4)Income &amp; Expense Input'!E19</f>
        <v>0</v>
      </c>
      <c r="P7" s="1">
        <f>N7*O7</f>
        <v>0</v>
      </c>
      <c r="S7" s="6"/>
      <c r="T7" s="6"/>
      <c r="V7" s="2">
        <f>SUM('(9)Annual Cash Flow Projection'!E56:E62)</f>
        <v>0</v>
      </c>
      <c r="X7" s="1">
        <v>0</v>
      </c>
    </row>
    <row r="8" spans="2:24" ht="14.25" customHeight="1" x14ac:dyDescent="0.55000000000000004">
      <c r="B8" s="125"/>
      <c r="C8" s="221"/>
      <c r="D8" s="221"/>
      <c r="E8" s="221"/>
      <c r="F8" s="221"/>
      <c r="G8" s="221"/>
      <c r="H8" s="18"/>
      <c r="I8" s="18"/>
      <c r="J8" s="18"/>
      <c r="K8" s="18"/>
      <c r="L8" s="126"/>
      <c r="N8" s="6"/>
      <c r="O8" s="6">
        <f>IF(O46=0,0,P8/O46)</f>
        <v>8.7200000000000006</v>
      </c>
      <c r="P8" s="1">
        <f>P5+P6+P7</f>
        <v>4360000</v>
      </c>
      <c r="R8" s="1">
        <f ca="1">'(6)Development Budget'!H74</f>
        <v>24057387.5</v>
      </c>
      <c r="S8" s="6"/>
      <c r="T8" s="6">
        <v>0</v>
      </c>
      <c r="V8" s="1">
        <f>V6-V7</f>
        <v>3980680</v>
      </c>
      <c r="X8" s="1">
        <v>0</v>
      </c>
    </row>
    <row r="9" spans="2:24" ht="14.25" customHeight="1" x14ac:dyDescent="0.55000000000000004">
      <c r="B9" s="125"/>
      <c r="C9" s="221"/>
      <c r="D9" s="221"/>
      <c r="E9" s="221"/>
      <c r="F9" s="221"/>
      <c r="G9" s="221"/>
      <c r="H9" s="18"/>
      <c r="I9" s="18"/>
      <c r="J9" s="18"/>
      <c r="K9" s="18"/>
      <c r="L9" s="126"/>
      <c r="N9" s="6"/>
      <c r="O9" s="6"/>
      <c r="R9" s="3">
        <f>'(2)Dev.-Inv. &amp; Lender Input'!E11</f>
        <v>0.15</v>
      </c>
      <c r="S9" s="6"/>
      <c r="T9" s="6">
        <v>0</v>
      </c>
      <c r="V9" s="3">
        <f>'(2)Dev.-Inv. &amp; Lender Input'!E34</f>
        <v>6.5000000000000002E-2</v>
      </c>
      <c r="X9" s="1">
        <v>0</v>
      </c>
    </row>
    <row r="10" spans="2:24" x14ac:dyDescent="0.3">
      <c r="B10" s="125"/>
      <c r="C10" s="204" t="s">
        <v>166</v>
      </c>
      <c r="D10" s="205"/>
      <c r="E10" s="205"/>
      <c r="F10" s="206"/>
      <c r="H10" s="204" t="s">
        <v>167</v>
      </c>
      <c r="I10" s="205"/>
      <c r="J10" s="205"/>
      <c r="K10" s="206"/>
      <c r="L10" s="126"/>
      <c r="N10" s="6">
        <f>O43</f>
        <v>500000</v>
      </c>
      <c r="O10" s="6">
        <f ca="1">O5*(1-Q3)</f>
        <v>4.0196922360126965</v>
      </c>
      <c r="P10" s="1">
        <f ca="1">N10*O10</f>
        <v>2009846.1180063484</v>
      </c>
      <c r="R10" s="1">
        <f ca="1">R8*R9</f>
        <v>3608608.125</v>
      </c>
      <c r="S10" s="6"/>
      <c r="T10" s="6">
        <v>0</v>
      </c>
      <c r="V10" s="1">
        <f>IF(V9=0,0,V8/V9)</f>
        <v>61241230.769230768</v>
      </c>
      <c r="X10" s="1">
        <v>0</v>
      </c>
    </row>
    <row r="11" spans="2:24" x14ac:dyDescent="0.3">
      <c r="B11" s="125"/>
      <c r="C11" s="7">
        <v>1</v>
      </c>
      <c r="D11" s="55"/>
      <c r="E11" s="8" t="s">
        <v>168</v>
      </c>
      <c r="F11" s="21">
        <f ca="1">'(5)Project Summary'!E27</f>
        <v>24057387.5</v>
      </c>
      <c r="H11" s="7">
        <v>1</v>
      </c>
      <c r="I11" s="55"/>
      <c r="J11" s="8" t="s">
        <v>169</v>
      </c>
      <c r="K11" s="21">
        <f t="shared" ref="K11:K18" si="0">V2</f>
        <v>4360000</v>
      </c>
      <c r="L11" s="126"/>
      <c r="N11" s="6">
        <f>O44</f>
        <v>0</v>
      </c>
      <c r="O11" s="6">
        <f ca="1">O6*(1-Q3)</f>
        <v>0</v>
      </c>
      <c r="P11" s="1">
        <f ca="1">N11*O11</f>
        <v>0</v>
      </c>
      <c r="R11" s="1">
        <f ca="1">R8</f>
        <v>24057387.5</v>
      </c>
      <c r="S11" s="6"/>
      <c r="T11" s="6">
        <v>0</v>
      </c>
      <c r="V11" s="1">
        <f>V10*'(2)Dev.-Inv. &amp; Lender Input'!E35</f>
        <v>1224824.6153846155</v>
      </c>
      <c r="X11" s="1">
        <v>0</v>
      </c>
    </row>
    <row r="12" spans="2:24" x14ac:dyDescent="0.3">
      <c r="B12" s="125"/>
      <c r="C12" s="11">
        <v>2</v>
      </c>
      <c r="D12" s="56" t="s">
        <v>170</v>
      </c>
      <c r="E12" s="12" t="s">
        <v>171</v>
      </c>
      <c r="F12" s="48">
        <f>'(2)Dev.-Inv. &amp; Lender Input'!E11</f>
        <v>0.15</v>
      </c>
      <c r="H12" s="11">
        <v>2</v>
      </c>
      <c r="I12" s="56" t="s">
        <v>172</v>
      </c>
      <c r="J12" s="12" t="s">
        <v>173</v>
      </c>
      <c r="K12" s="22">
        <f t="shared" si="0"/>
        <v>379320</v>
      </c>
      <c r="L12" s="126"/>
      <c r="N12" s="6">
        <f>O45</f>
        <v>0</v>
      </c>
      <c r="O12" s="6">
        <f ca="1">O7*(1-Q3)</f>
        <v>0</v>
      </c>
      <c r="P12" s="1">
        <f ca="1">N12*O12</f>
        <v>0</v>
      </c>
      <c r="R12" s="1">
        <f ca="1">R10+R11</f>
        <v>27665995.625</v>
      </c>
      <c r="S12" s="6"/>
      <c r="T12" s="6">
        <v>0</v>
      </c>
      <c r="V12" s="1">
        <f>V10-V11</f>
        <v>60016406.153846152</v>
      </c>
      <c r="X12" s="1">
        <v>0</v>
      </c>
    </row>
    <row r="13" spans="2:24" x14ac:dyDescent="0.3">
      <c r="B13" s="125"/>
      <c r="C13" s="11">
        <v>3</v>
      </c>
      <c r="D13" s="56" t="s">
        <v>174</v>
      </c>
      <c r="E13" s="12" t="s">
        <v>175</v>
      </c>
      <c r="F13" s="22">
        <f ca="1">F11*F12</f>
        <v>3608608.125</v>
      </c>
      <c r="H13" s="11">
        <v>3</v>
      </c>
      <c r="I13" s="56" t="s">
        <v>174</v>
      </c>
      <c r="J13" s="12" t="s">
        <v>176</v>
      </c>
      <c r="K13" s="22">
        <f t="shared" si="0"/>
        <v>3980680</v>
      </c>
      <c r="L13" s="126"/>
      <c r="N13" s="6">
        <f>N10+N11+N12</f>
        <v>500000</v>
      </c>
      <c r="O13" s="6">
        <f ca="1">P13/N13</f>
        <v>4.0196922360126965</v>
      </c>
      <c r="P13" s="1">
        <f ca="1">P10+P11+P12</f>
        <v>2009846.1180063484</v>
      </c>
      <c r="R13" s="1">
        <f ca="1">R12/(1-'(2)Dev.-Inv. &amp; Lender Input'!E35)-R12</f>
        <v>564612.1556122452</v>
      </c>
      <c r="S13" s="6"/>
      <c r="T13" s="6">
        <v>0</v>
      </c>
      <c r="V13" s="1">
        <f>-(V12/(1+'(2)Dev.-Inv. &amp; Lender Input'!E11)-'(7)Cost Mark-up Feasibility '!V12)</f>
        <v>7828226.8896321058</v>
      </c>
      <c r="X13" s="1">
        <v>0</v>
      </c>
    </row>
    <row r="14" spans="2:24" x14ac:dyDescent="0.3">
      <c r="B14" s="125"/>
      <c r="C14" s="11">
        <v>4</v>
      </c>
      <c r="D14" s="56" t="s">
        <v>177</v>
      </c>
      <c r="E14" s="12" t="s">
        <v>168</v>
      </c>
      <c r="F14" s="22">
        <f ca="1">F11</f>
        <v>24057387.5</v>
      </c>
      <c r="H14" s="11">
        <v>4</v>
      </c>
      <c r="I14" s="56" t="s">
        <v>177</v>
      </c>
      <c r="J14" s="12" t="s">
        <v>178</v>
      </c>
      <c r="K14" s="22">
        <f t="shared" si="0"/>
        <v>0</v>
      </c>
      <c r="L14" s="126"/>
      <c r="N14" s="6"/>
      <c r="O14" s="6"/>
      <c r="R14" s="1">
        <f ca="1">R12+R13</f>
        <v>28230607.780612245</v>
      </c>
      <c r="S14" s="6"/>
      <c r="T14" s="6">
        <v>0</v>
      </c>
      <c r="V14" s="1">
        <f>V12-V13</f>
        <v>52188179.264214046</v>
      </c>
      <c r="X14" s="1">
        <v>0</v>
      </c>
    </row>
    <row r="15" spans="2:24" x14ac:dyDescent="0.3">
      <c r="B15" s="125"/>
      <c r="C15" s="11">
        <v>5</v>
      </c>
      <c r="D15" s="56" t="s">
        <v>174</v>
      </c>
      <c r="E15" s="12" t="s">
        <v>179</v>
      </c>
      <c r="F15" s="22">
        <f ca="1">F13+F14</f>
        <v>27665995.625</v>
      </c>
      <c r="H15" s="11">
        <v>5</v>
      </c>
      <c r="I15" s="56" t="s">
        <v>174</v>
      </c>
      <c r="J15" s="12" t="s">
        <v>180</v>
      </c>
      <c r="K15" s="22">
        <f t="shared" si="0"/>
        <v>3980680</v>
      </c>
      <c r="L15" s="126"/>
      <c r="N15" s="6"/>
      <c r="O15" s="6"/>
      <c r="R15" s="3">
        <f>'(2)Dev.-Inv. &amp; Lender Input'!E34</f>
        <v>6.5000000000000002E-2</v>
      </c>
      <c r="S15" s="6"/>
      <c r="T15" s="6">
        <v>0</v>
      </c>
      <c r="V15" s="4">
        <f ca="1">'(6)Development Budget'!H74-'(6)Development Budget'!H22</f>
        <v>21431387.5</v>
      </c>
      <c r="X15" s="1">
        <v>0</v>
      </c>
    </row>
    <row r="16" spans="2:24" x14ac:dyDescent="0.3">
      <c r="B16" s="125"/>
      <c r="C16" s="11">
        <v>6</v>
      </c>
      <c r="D16" s="56" t="s">
        <v>177</v>
      </c>
      <c r="E16" s="12" t="s">
        <v>181</v>
      </c>
      <c r="F16" s="22">
        <f ca="1">F15/(1-'(2)Dev.-Inv. &amp; Lender Input'!E35)-F15</f>
        <v>564612.1556122452</v>
      </c>
      <c r="H16" s="11">
        <v>6</v>
      </c>
      <c r="I16" s="56" t="s">
        <v>172</v>
      </c>
      <c r="J16" s="12" t="s">
        <v>182</v>
      </c>
      <c r="K16" s="39">
        <f t="shared" si="0"/>
        <v>0</v>
      </c>
      <c r="L16" s="126"/>
      <c r="N16" s="6"/>
      <c r="O16" s="190">
        <f ca="1">F28</f>
        <v>4.0196922360126965</v>
      </c>
      <c r="P16" s="1">
        <f ca="1">O17/N5</f>
        <v>4.0196922360126965</v>
      </c>
      <c r="R16" s="1">
        <f ca="1">R14*R15</f>
        <v>1834989.505739796</v>
      </c>
      <c r="S16" s="6"/>
      <c r="T16" s="6">
        <v>0</v>
      </c>
      <c r="V16" s="1">
        <f ca="1">V14-V15</f>
        <v>30756791.764214046</v>
      </c>
      <c r="X16" s="1">
        <v>0</v>
      </c>
    </row>
    <row r="17" spans="2:24" x14ac:dyDescent="0.3">
      <c r="B17" s="125"/>
      <c r="C17" s="11">
        <v>7</v>
      </c>
      <c r="D17" s="56" t="s">
        <v>174</v>
      </c>
      <c r="E17" s="12" t="s">
        <v>183</v>
      </c>
      <c r="F17" s="22">
        <f ca="1">F15+F16</f>
        <v>28230607.780612245</v>
      </c>
      <c r="H17" s="11">
        <v>7</v>
      </c>
      <c r="I17" s="56" t="s">
        <v>174</v>
      </c>
      <c r="J17" s="12" t="s">
        <v>184</v>
      </c>
      <c r="K17" s="22">
        <f t="shared" si="0"/>
        <v>3980680</v>
      </c>
      <c r="L17" s="126"/>
      <c r="N17" s="6"/>
      <c r="O17" s="6">
        <f ca="1">N13*O16</f>
        <v>2009846.1180063484</v>
      </c>
      <c r="R17" s="1">
        <f ca="1">O25</f>
        <v>0</v>
      </c>
      <c r="S17" s="6">
        <f ca="1">R17+R18</f>
        <v>0</v>
      </c>
      <c r="T17" s="6">
        <v>0</v>
      </c>
      <c r="V17" s="1">
        <f ca="1">IF('(3)Development Budget Input'!E14=0,0,IF('(3)Development Budget Input'!E14&lt;100,'(7)Cost Mark-up Feasibility '!V16/'(3)Development Budget Input'!E14,'(7)Cost Mark-up Feasibility '!V16/('(3)Development Budget Input'!E14/43560)))</f>
        <v>1339765.8492491639</v>
      </c>
      <c r="X17" s="1">
        <v>0</v>
      </c>
    </row>
    <row r="18" spans="2:24" x14ac:dyDescent="0.3">
      <c r="B18" s="125"/>
      <c r="C18" s="11">
        <v>8</v>
      </c>
      <c r="D18" s="56" t="s">
        <v>170</v>
      </c>
      <c r="E18" s="12" t="s">
        <v>185</v>
      </c>
      <c r="F18" s="48">
        <f>'(2)Dev.-Inv. &amp; Lender Input'!E34</f>
        <v>6.5000000000000002E-2</v>
      </c>
      <c r="H18" s="11">
        <v>8</v>
      </c>
      <c r="I18" s="56" t="s">
        <v>186</v>
      </c>
      <c r="J18" s="12" t="s">
        <v>185</v>
      </c>
      <c r="K18" s="48">
        <f t="shared" si="0"/>
        <v>6.5000000000000002E-2</v>
      </c>
      <c r="L18" s="126"/>
      <c r="N18" s="6"/>
      <c r="O18" s="6">
        <f ca="1">O17*O3</f>
        <v>174856.61226655229</v>
      </c>
      <c r="R18" s="191">
        <f>(('(4)Income &amp; Expense Input'!E12+'(4)Income &amp; Expense Input'!E15+'(4)Income &amp; Expense Input'!E18)*'(4)Income &amp; Expense Input'!E29)+('(4)Income &amp; Expense Input'!E12+'(4)Income &amp; Expense Input'!E15+'(4)Income &amp; Expense Input'!E18)*SUM('(4)Income &amp; Expense Input'!E24:E28)</f>
        <v>0</v>
      </c>
      <c r="S18" s="6"/>
      <c r="T18" s="6">
        <v>0</v>
      </c>
      <c r="V18" s="1">
        <f ca="1">V17/43560</f>
        <v>30.756791764214046</v>
      </c>
      <c r="X18" s="1">
        <v>0</v>
      </c>
    </row>
    <row r="19" spans="2:24" x14ac:dyDescent="0.3">
      <c r="B19" s="125"/>
      <c r="C19" s="11">
        <v>9</v>
      </c>
      <c r="D19" s="56" t="s">
        <v>174</v>
      </c>
      <c r="E19" s="12" t="s">
        <v>187</v>
      </c>
      <c r="F19" s="22">
        <f ca="1">F17*F18</f>
        <v>1834989.505739796</v>
      </c>
      <c r="H19" s="11">
        <v>9</v>
      </c>
      <c r="I19" s="56" t="s">
        <v>174</v>
      </c>
      <c r="J19" s="12" t="s">
        <v>188</v>
      </c>
      <c r="K19" s="22">
        <f t="shared" ref="K19:K25" si="1">V10</f>
        <v>61241230.769230768</v>
      </c>
      <c r="L19" s="126"/>
      <c r="N19" s="6"/>
      <c r="O19" s="6">
        <f ca="1">O17-O18</f>
        <v>1834989.505739796</v>
      </c>
      <c r="R19" s="1">
        <f ca="1">R16+R17+R18</f>
        <v>1834989.505739796</v>
      </c>
      <c r="S19" s="6"/>
      <c r="T19" s="6">
        <v>0</v>
      </c>
      <c r="V19" s="1">
        <f ca="1">'(6)Development Budget'!H74</f>
        <v>24057387.5</v>
      </c>
      <c r="X19" s="1">
        <v>0</v>
      </c>
    </row>
    <row r="20" spans="2:24" x14ac:dyDescent="0.3">
      <c r="B20" s="125"/>
      <c r="C20" s="11">
        <v>10</v>
      </c>
      <c r="D20" s="56" t="s">
        <v>177</v>
      </c>
      <c r="E20" s="12" t="s">
        <v>182</v>
      </c>
      <c r="F20" s="22">
        <f>(('(4)Income &amp; Expense Input'!E12+'(4)Income &amp; Expense Input'!E15+'(4)Income &amp; Expense Input'!E18)*'(4)Income &amp; Expense Input'!E29)+('(4)Income &amp; Expense Input'!E12+'(4)Income &amp; Expense Input'!E15+'(4)Income &amp; Expense Input'!E18)*SUM('(4)Income &amp; Expense Input'!E24:E28)</f>
        <v>0</v>
      </c>
      <c r="H20" s="11">
        <v>10</v>
      </c>
      <c r="I20" s="56" t="s">
        <v>172</v>
      </c>
      <c r="J20" s="12" t="s">
        <v>181</v>
      </c>
      <c r="K20" s="22">
        <f t="shared" si="1"/>
        <v>1224824.6153846155</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c r="V20" s="1">
        <f ca="1">V14-V19</f>
        <v>28130791.764214046</v>
      </c>
      <c r="X20" s="1">
        <v>0</v>
      </c>
    </row>
    <row r="21" spans="2:24" x14ac:dyDescent="0.3">
      <c r="B21" s="125"/>
      <c r="C21" s="11">
        <v>11</v>
      </c>
      <c r="D21" s="56" t="s">
        <v>174</v>
      </c>
      <c r="E21" s="12" t="s">
        <v>180</v>
      </c>
      <c r="F21" s="22">
        <f ca="1">F19+F20</f>
        <v>1834989.505739796</v>
      </c>
      <c r="H21" s="11">
        <v>11</v>
      </c>
      <c r="I21" s="56" t="s">
        <v>174</v>
      </c>
      <c r="J21" s="12" t="s">
        <v>189</v>
      </c>
      <c r="K21" s="22">
        <f t="shared" si="1"/>
        <v>60016406.153846152</v>
      </c>
      <c r="L21" s="126"/>
      <c r="N21" s="6"/>
      <c r="O21" s="6">
        <f ca="1">P41</f>
        <v>0</v>
      </c>
      <c r="R21" s="1">
        <f>O20</f>
        <v>0</v>
      </c>
      <c r="S21" s="6">
        <f ca="1">R20+R21</f>
        <v>0</v>
      </c>
      <c r="T21" s="6">
        <v>0</v>
      </c>
    </row>
    <row r="22" spans="2:24" x14ac:dyDescent="0.3">
      <c r="B22" s="125"/>
      <c r="C22" s="11">
        <v>12</v>
      </c>
      <c r="D22" s="56" t="s">
        <v>172</v>
      </c>
      <c r="E22" s="12" t="s">
        <v>190</v>
      </c>
      <c r="F22" s="22">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H22" s="11">
        <v>12</v>
      </c>
      <c r="I22" s="56" t="s">
        <v>172</v>
      </c>
      <c r="J22" s="12" t="s">
        <v>191</v>
      </c>
      <c r="K22" s="22">
        <f t="shared" si="1"/>
        <v>7828226.8896321058</v>
      </c>
      <c r="L22" s="126"/>
      <c r="N22" s="6"/>
      <c r="O22" s="6">
        <f ca="1">O19+O20+O21</f>
        <v>1834989.505739796</v>
      </c>
      <c r="R22" s="1">
        <f ca="1">R19-R20-R21</f>
        <v>1834989.505739796</v>
      </c>
      <c r="S22" s="6"/>
      <c r="T22" s="6">
        <v>0</v>
      </c>
    </row>
    <row r="23" spans="2:24" x14ac:dyDescent="0.3">
      <c r="B23" s="125"/>
      <c r="C23" s="11">
        <v>13</v>
      </c>
      <c r="D23" s="56" t="s">
        <v>174</v>
      </c>
      <c r="E23" s="12" t="s">
        <v>176</v>
      </c>
      <c r="F23" s="22">
        <f ca="1">F21-F22</f>
        <v>1834989.505739796</v>
      </c>
      <c r="H23" s="11">
        <v>13</v>
      </c>
      <c r="I23" s="56" t="s">
        <v>174</v>
      </c>
      <c r="J23" s="12" t="s">
        <v>192</v>
      </c>
      <c r="K23" s="22">
        <f t="shared" si="1"/>
        <v>52188179.264214046</v>
      </c>
      <c r="L23" s="126"/>
      <c r="N23" s="6"/>
      <c r="O23" s="190">
        <f>('(4)Income &amp; Expense Input'!E12+'(4)Income &amp; Expense Input'!E15+'(4)Income &amp; Expense Input'!E18)*SUM('(4)Income &amp; Expense Input'!E24:E28)</f>
        <v>0</v>
      </c>
      <c r="R23" s="1">
        <f ca="1">(R22/(1-O3))-R22</f>
        <v>174856.61226655217</v>
      </c>
      <c r="S23" s="6"/>
      <c r="T23" s="6">
        <v>0</v>
      </c>
    </row>
    <row r="24" spans="2:24" x14ac:dyDescent="0.3">
      <c r="B24" s="125"/>
      <c r="C24" s="11">
        <v>14</v>
      </c>
      <c r="D24" s="56" t="s">
        <v>177</v>
      </c>
      <c r="E24" s="12" t="s">
        <v>173</v>
      </c>
      <c r="F24" s="22">
        <f ca="1">(F23/(1-IF('(9)Annual Cash Flow Projection'!E15=0,0,('(9)Annual Cash Flow Projection'!E15-'(9)Annual Cash Flow Projection'!E19)/'(9)Annual Cash Flow Projection'!E15)))-F23</f>
        <v>174856.61226655217</v>
      </c>
      <c r="H24" s="11">
        <v>14</v>
      </c>
      <c r="I24" s="56" t="s">
        <v>172</v>
      </c>
      <c r="J24" s="12" t="s">
        <v>193</v>
      </c>
      <c r="K24" s="22">
        <f t="shared" ca="1" si="1"/>
        <v>21431387.5</v>
      </c>
      <c r="L24" s="126"/>
      <c r="N24" s="6"/>
      <c r="O24" s="190">
        <f>(('(4)Income &amp; Expense Input'!E12+'(4)Income &amp; Expense Input'!E15+'(4)Income &amp; Expense Input'!E18)*'(4)Income &amp; Expense Input'!E29)</f>
        <v>0</v>
      </c>
      <c r="R24" s="1">
        <f ca="1">R22+R23</f>
        <v>2009846.1180063481</v>
      </c>
      <c r="S24" s="6"/>
      <c r="T24" s="6">
        <v>0</v>
      </c>
    </row>
    <row r="25" spans="2:24" x14ac:dyDescent="0.3">
      <c r="B25" s="125"/>
      <c r="C25" s="9">
        <v>15</v>
      </c>
      <c r="D25" s="57" t="s">
        <v>174</v>
      </c>
      <c r="E25" s="10" t="s">
        <v>169</v>
      </c>
      <c r="F25" s="23">
        <f ca="1">F23+F24</f>
        <v>2009846.1180063481</v>
      </c>
      <c r="H25" s="9">
        <v>15</v>
      </c>
      <c r="I25" s="57" t="s">
        <v>174</v>
      </c>
      <c r="J25" s="10" t="s">
        <v>290</v>
      </c>
      <c r="K25" s="23">
        <f t="shared" ca="1" si="1"/>
        <v>30756791.764214046</v>
      </c>
      <c r="L25" s="126"/>
      <c r="N25" s="6"/>
      <c r="O25" s="6">
        <f ca="1">O22*'(4)Income &amp; Expense Input'!E30</f>
        <v>0</v>
      </c>
      <c r="R25" s="1">
        <f ca="1">IF(O46=0,0,R24/O46)</f>
        <v>4.0196922360126965</v>
      </c>
      <c r="S25" s="6"/>
      <c r="T25" s="6">
        <v>0</v>
      </c>
    </row>
    <row r="26" spans="2:24" x14ac:dyDescent="0.3">
      <c r="B26" s="125"/>
      <c r="F26" s="2"/>
      <c r="K26" s="2"/>
      <c r="L26" s="126"/>
      <c r="N26" s="6"/>
      <c r="O26" s="6">
        <f ca="1">O22-O23-O24-O25</f>
        <v>1834989.505739796</v>
      </c>
      <c r="R26" s="2">
        <f ca="1">O5*(1-Q3)</f>
        <v>4.0196922360126965</v>
      </c>
      <c r="S26" s="6"/>
      <c r="T26" s="6">
        <v>0</v>
      </c>
    </row>
    <row r="27" spans="2:24" x14ac:dyDescent="0.3">
      <c r="B27" s="125"/>
      <c r="C27" s="204" t="s">
        <v>194</v>
      </c>
      <c r="D27" s="205"/>
      <c r="E27" s="205"/>
      <c r="F27" s="206"/>
      <c r="H27" s="204" t="s">
        <v>195</v>
      </c>
      <c r="I27" s="205"/>
      <c r="J27" s="205"/>
      <c r="K27" s="206"/>
      <c r="L27" s="126"/>
      <c r="N27" s="6"/>
      <c r="O27" s="6"/>
      <c r="R27" s="1">
        <f ca="1">O6*(1-Q3)</f>
        <v>0</v>
      </c>
      <c r="S27" s="6"/>
      <c r="T27" s="6"/>
    </row>
    <row r="28" spans="2:24" x14ac:dyDescent="0.3">
      <c r="B28" s="125"/>
      <c r="C28" s="169">
        <v>16</v>
      </c>
      <c r="D28" s="170" t="s">
        <v>196</v>
      </c>
      <c r="E28" s="171"/>
      <c r="F28" s="172">
        <f ca="1">IF(('(4)Income &amp; Expense Input'!E12+'(4)Income &amp; Expense Input'!E15+'(4)Income &amp; Expense Input'!E18)=0,0,F25/('(4)Income &amp; Expense Input'!E12+'(4)Income &amp; Expense Input'!E15+'(4)Income &amp; Expense Input'!E18))</f>
        <v>4.0196922360126965</v>
      </c>
      <c r="H28" s="169">
        <v>16</v>
      </c>
      <c r="I28" s="170" t="s">
        <v>301</v>
      </c>
      <c r="J28" s="171"/>
      <c r="K28" s="175">
        <f ca="1">V17</f>
        <v>1339765.8492491639</v>
      </c>
      <c r="L28" s="126"/>
      <c r="N28" s="6"/>
      <c r="O28" s="54">
        <f>('(4)Income &amp; Expense Input'!E12*(1-'(4)Income &amp; Expense Input'!E14))*SUM('(4)Income &amp; Expense Input'!E36:E41)</f>
        <v>0</v>
      </c>
      <c r="R28" s="1">
        <f ca="1">O7*(1-Q3)</f>
        <v>0</v>
      </c>
      <c r="S28" s="6"/>
      <c r="T28" s="6"/>
    </row>
    <row r="29" spans="2:24" x14ac:dyDescent="0.3">
      <c r="B29" s="125"/>
      <c r="C29" s="29">
        <v>17</v>
      </c>
      <c r="D29" s="173" t="s">
        <v>197</v>
      </c>
      <c r="E29" s="24"/>
      <c r="F29" s="61">
        <f t="shared" ref="F29:F31" ca="1" si="2">R26</f>
        <v>4.0196922360126965</v>
      </c>
      <c r="H29" s="29">
        <v>17</v>
      </c>
      <c r="I29" s="173" t="s">
        <v>300</v>
      </c>
      <c r="J29" s="24"/>
      <c r="K29" s="61">
        <f ca="1">V18</f>
        <v>30.756791764214046</v>
      </c>
      <c r="L29" s="126"/>
      <c r="N29" s="6"/>
      <c r="O29" s="54">
        <f>('(4)Income &amp; Expense Input'!E15*(1-'(4)Income &amp; Expense Input'!E17))*SUM('(4)Income &amp; Expense Input'!E46:E51)</f>
        <v>0</v>
      </c>
      <c r="S29" s="6"/>
      <c r="T29" s="6"/>
    </row>
    <row r="30" spans="2:24" x14ac:dyDescent="0.3">
      <c r="B30" s="125"/>
      <c r="C30" s="29">
        <v>18</v>
      </c>
      <c r="D30" s="173" t="s">
        <v>198</v>
      </c>
      <c r="E30" s="24"/>
      <c r="F30" s="61">
        <f t="shared" ca="1" si="2"/>
        <v>0</v>
      </c>
      <c r="H30" s="30">
        <v>18</v>
      </c>
      <c r="I30" s="174" t="s">
        <v>302</v>
      </c>
      <c r="J30" s="26"/>
      <c r="K30" s="28">
        <f ca="1">V16</f>
        <v>30756791.764214046</v>
      </c>
      <c r="L30" s="126"/>
      <c r="N30" s="6"/>
      <c r="O30" s="54">
        <f>('(4)Income &amp; Expense Input'!E18*(1-'(4)Income &amp; Expense Input'!E20))*SUM('(4)Income &amp; Expense Input'!E56:E61)</f>
        <v>0</v>
      </c>
      <c r="S30" s="6"/>
      <c r="T30" s="6"/>
    </row>
    <row r="31" spans="2:24" x14ac:dyDescent="0.3">
      <c r="B31" s="125"/>
      <c r="C31" s="30">
        <v>19</v>
      </c>
      <c r="D31" s="174" t="s">
        <v>199</v>
      </c>
      <c r="E31" s="26"/>
      <c r="F31" s="168">
        <f t="shared" ca="1" si="2"/>
        <v>0</v>
      </c>
      <c r="L31" s="126"/>
      <c r="N31" s="6"/>
      <c r="O31" s="6">
        <f>O28+O29+O30</f>
        <v>0</v>
      </c>
      <c r="S31" s="6"/>
      <c r="T31" s="6"/>
    </row>
    <row r="32" spans="2:24" x14ac:dyDescent="0.3">
      <c r="B32" s="125"/>
      <c r="L32" s="126"/>
      <c r="N32" s="6"/>
      <c r="O32" s="6"/>
      <c r="S32" s="6"/>
      <c r="T32" s="6"/>
    </row>
    <row r="33" spans="2:20" x14ac:dyDescent="0.3">
      <c r="B33" s="125"/>
      <c r="L33" s="126"/>
      <c r="N33" s="6"/>
      <c r="O33" s="6">
        <f ca="1">O43*O10</f>
        <v>2009846.1180063484</v>
      </c>
      <c r="P33" s="1">
        <f ca="1">O33*(1-'(4)Income &amp; Expense Input'!E14)</f>
        <v>1834989.5057397962</v>
      </c>
      <c r="S33" s="6"/>
      <c r="T33" s="6"/>
    </row>
    <row r="34" spans="2:20" x14ac:dyDescent="0.3">
      <c r="B34" s="125"/>
      <c r="L34" s="126"/>
      <c r="N34" s="6"/>
      <c r="O34" s="6">
        <f ca="1">O44*O11</f>
        <v>0</v>
      </c>
      <c r="P34" s="1">
        <f ca="1">O34*(1-'(4)Income &amp; Expense Input'!E17)</f>
        <v>0</v>
      </c>
      <c r="S34" s="6"/>
      <c r="T34" s="6"/>
    </row>
    <row r="35" spans="2:20" x14ac:dyDescent="0.3">
      <c r="B35" s="125"/>
      <c r="L35" s="126"/>
      <c r="N35" s="6"/>
      <c r="O35" s="6">
        <f ca="1">O45*O12</f>
        <v>0</v>
      </c>
      <c r="P35" s="1">
        <f ca="1">O35*(1-'(4)Income &amp; Expense Input'!E20)</f>
        <v>0</v>
      </c>
      <c r="S35" s="6"/>
      <c r="T35" s="6"/>
    </row>
    <row r="36" spans="2:20" x14ac:dyDescent="0.3">
      <c r="B36" s="125"/>
      <c r="L36" s="126"/>
      <c r="N36" s="6"/>
      <c r="O36" s="6">
        <f ca="1">O33+O34+O35</f>
        <v>2009846.1180063484</v>
      </c>
      <c r="P36" s="1">
        <f ca="1">P33+P34+P35</f>
        <v>1834989.5057397962</v>
      </c>
      <c r="S36" s="6"/>
      <c r="T36" s="6"/>
    </row>
    <row r="37" spans="2:20" x14ac:dyDescent="0.3">
      <c r="B37" s="125"/>
      <c r="L37" s="126"/>
      <c r="N37" s="6"/>
      <c r="O37" s="6"/>
      <c r="S37" s="6"/>
      <c r="T37" s="6"/>
    </row>
    <row r="38" spans="2:20" x14ac:dyDescent="0.3">
      <c r="B38" s="125"/>
      <c r="L38" s="126"/>
      <c r="N38" s="6"/>
      <c r="O38" s="6"/>
      <c r="P38" s="2">
        <f ca="1">((O28+P33)/(1-'(4)Income &amp; Expense Input'!E42))-(O28+P33)</f>
        <v>0</v>
      </c>
      <c r="S38" s="6"/>
      <c r="T38" s="6"/>
    </row>
    <row r="39" spans="2:20" x14ac:dyDescent="0.3">
      <c r="B39" s="125"/>
      <c r="L39" s="126"/>
      <c r="N39" s="6"/>
      <c r="O39" s="6"/>
      <c r="P39" s="2">
        <f ca="1">((O29+P34)/(1-'(4)Income &amp; Expense Input'!E52))-(O29+P34)</f>
        <v>0</v>
      </c>
      <c r="S39" s="6"/>
      <c r="T39" s="6"/>
    </row>
    <row r="40" spans="2:20" x14ac:dyDescent="0.3">
      <c r="B40" s="125"/>
      <c r="L40" s="126"/>
      <c r="N40" s="6"/>
      <c r="O40" s="6"/>
      <c r="P40" s="2">
        <f ca="1">((O30+P35)/(1-'(4)Income &amp; Expense Input'!E62))-(O30+P35)</f>
        <v>0</v>
      </c>
      <c r="S40" s="6"/>
      <c r="T40" s="6"/>
    </row>
    <row r="41" spans="2:20" x14ac:dyDescent="0.3">
      <c r="B41" s="125"/>
      <c r="L41" s="126"/>
      <c r="N41" s="6"/>
      <c r="O41" s="6"/>
      <c r="P41" s="1">
        <f ca="1">P38+P39+P40</f>
        <v>0</v>
      </c>
      <c r="S41" s="6"/>
      <c r="T41" s="6"/>
    </row>
    <row r="42" spans="2:20" x14ac:dyDescent="0.3">
      <c r="B42" s="125"/>
      <c r="L42" s="126"/>
      <c r="N42" s="6"/>
      <c r="O42" s="6"/>
      <c r="S42" s="6"/>
      <c r="T42" s="6"/>
    </row>
    <row r="43" spans="2:20" x14ac:dyDescent="0.3">
      <c r="B43" s="125"/>
      <c r="L43" s="126"/>
      <c r="N43" s="6"/>
      <c r="O43" s="6">
        <f>'(4)Income &amp; Expense Input'!E12</f>
        <v>500000</v>
      </c>
      <c r="S43" s="6"/>
      <c r="T43" s="6"/>
    </row>
    <row r="44" spans="2:20" x14ac:dyDescent="0.3">
      <c r="B44" s="125"/>
      <c r="L44" s="126"/>
      <c r="N44" s="6"/>
      <c r="O44" s="6">
        <f>'(4)Income &amp; Expense Input'!E15</f>
        <v>0</v>
      </c>
      <c r="S44" s="6"/>
      <c r="T44" s="6"/>
    </row>
    <row r="45" spans="2:20" x14ac:dyDescent="0.3">
      <c r="B45" s="125"/>
      <c r="L45" s="126"/>
      <c r="N45" s="6"/>
      <c r="O45" s="6">
        <f>'(4)Income &amp; Expense Input'!E18</f>
        <v>0</v>
      </c>
      <c r="S45" s="6"/>
      <c r="T45" s="6"/>
    </row>
    <row r="46" spans="2:20" x14ac:dyDescent="0.3">
      <c r="B46" s="125"/>
      <c r="L46" s="126"/>
      <c r="N46" s="6">
        <f>('(4)Income &amp; Expense Input'!E12+'(4)Income &amp; Expense Input'!E15+'(4)Income &amp; Expense Input'!E18)</f>
        <v>500000</v>
      </c>
      <c r="O46" s="6">
        <f>O43+O44+O45</f>
        <v>500000</v>
      </c>
      <c r="S46" s="6"/>
      <c r="T46" s="6"/>
    </row>
    <row r="47" spans="2:20" x14ac:dyDescent="0.3">
      <c r="B47" s="125"/>
      <c r="L47" s="126"/>
      <c r="N47" s="6"/>
      <c r="O47" s="6"/>
      <c r="S47" s="6"/>
      <c r="T47" s="6"/>
    </row>
    <row r="48" spans="2:20" x14ac:dyDescent="0.3">
      <c r="B48" s="125"/>
      <c r="L48" s="126"/>
    </row>
    <row r="49" spans="2:12" x14ac:dyDescent="0.3">
      <c r="B49" s="125"/>
      <c r="L49" s="126"/>
    </row>
    <row r="50" spans="2:12" x14ac:dyDescent="0.3">
      <c r="B50" s="125"/>
      <c r="L50" s="126"/>
    </row>
    <row r="51" spans="2:12" x14ac:dyDescent="0.3">
      <c r="B51" s="125"/>
      <c r="L51" s="126"/>
    </row>
    <row r="52" spans="2:12" x14ac:dyDescent="0.3">
      <c r="B52" s="125"/>
      <c r="L52" s="126"/>
    </row>
    <row r="53" spans="2:12" x14ac:dyDescent="0.3">
      <c r="B53" s="125"/>
      <c r="L53" s="126"/>
    </row>
    <row r="54" spans="2:12" x14ac:dyDescent="0.3">
      <c r="B54" s="125"/>
      <c r="L54" s="126"/>
    </row>
    <row r="55" spans="2:12" x14ac:dyDescent="0.3">
      <c r="B55" s="125"/>
      <c r="L55" s="126"/>
    </row>
    <row r="56" spans="2:12" x14ac:dyDescent="0.3">
      <c r="B56" s="125"/>
      <c r="L56" s="126"/>
    </row>
    <row r="57" spans="2:12" x14ac:dyDescent="0.3">
      <c r="B57" s="125"/>
      <c r="L57" s="126"/>
    </row>
    <row r="58" spans="2:12" x14ac:dyDescent="0.3">
      <c r="B58" s="125"/>
      <c r="L58" s="126"/>
    </row>
    <row r="59" spans="2:12" x14ac:dyDescent="0.3">
      <c r="B59" s="125"/>
      <c r="L59" s="126"/>
    </row>
    <row r="60" spans="2:12" x14ac:dyDescent="0.3">
      <c r="B60" s="125"/>
      <c r="L60" s="126"/>
    </row>
    <row r="61" spans="2:12" x14ac:dyDescent="0.3">
      <c r="B61" s="125"/>
      <c r="L61" s="126"/>
    </row>
    <row r="62" spans="2:12" x14ac:dyDescent="0.3">
      <c r="B62" s="125"/>
      <c r="L62" s="126"/>
    </row>
    <row r="63" spans="2:12" x14ac:dyDescent="0.3">
      <c r="B63" s="125"/>
      <c r="L63" s="126"/>
    </row>
    <row r="64" spans="2:12" x14ac:dyDescent="0.3">
      <c r="B64" s="125"/>
      <c r="L64" s="126"/>
    </row>
    <row r="65" spans="2:12" x14ac:dyDescent="0.3">
      <c r="B65" s="125"/>
      <c r="L65" s="126"/>
    </row>
    <row r="66" spans="2:12" x14ac:dyDescent="0.3">
      <c r="B66" s="125"/>
      <c r="L66" s="126"/>
    </row>
    <row r="67" spans="2:12" x14ac:dyDescent="0.3">
      <c r="B67" s="125"/>
      <c r="L67" s="126"/>
    </row>
    <row r="68" spans="2:12" x14ac:dyDescent="0.3">
      <c r="B68" s="125"/>
      <c r="L68" s="126"/>
    </row>
    <row r="69" spans="2:12" x14ac:dyDescent="0.3">
      <c r="B69" s="125"/>
      <c r="L69" s="126"/>
    </row>
    <row r="70" spans="2:12" x14ac:dyDescent="0.3">
      <c r="B70" s="125"/>
      <c r="L70" s="126"/>
    </row>
    <row r="71" spans="2:12" x14ac:dyDescent="0.3">
      <c r="B71" s="125"/>
      <c r="C71" s="1" t="str">
        <f>VERSION</f>
        <v>Version 9.0</v>
      </c>
      <c r="K71" s="135">
        <f>'(6)Development Budget'!I89+1</f>
        <v>7</v>
      </c>
      <c r="L71" s="126"/>
    </row>
    <row r="72" spans="2:12" ht="14.5" thickBot="1" x14ac:dyDescent="0.35">
      <c r="B72" s="147"/>
      <c r="C72" s="148"/>
      <c r="D72" s="148"/>
      <c r="E72" s="131"/>
      <c r="F72" s="131"/>
      <c r="G72" s="131"/>
      <c r="H72" s="148"/>
      <c r="I72" s="148"/>
      <c r="J72" s="131"/>
      <c r="K72" s="131"/>
      <c r="L72" s="132"/>
    </row>
    <row r="73" spans="2:12" ht="14.5" thickTop="1" x14ac:dyDescent="0.3"/>
  </sheetData>
  <sheetProtection sheet="1" objects="1" scenarios="1" selectLockedCells="1"/>
  <mergeCells count="6">
    <mergeCell ref="G3:K5"/>
    <mergeCell ref="H10:K10"/>
    <mergeCell ref="C10:F10"/>
    <mergeCell ref="C27:F27"/>
    <mergeCell ref="H27:K27"/>
    <mergeCell ref="C7:G9"/>
  </mergeCells>
  <printOptions horizontalCentered="1" verticalCentered="1"/>
  <pageMargins left="0" right="0" top="0" bottom="0" header="0" footer="0"/>
  <pageSetup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7A22-63A3-461D-9822-53624C8C2782}">
  <sheetPr>
    <tabColor rgb="FFFFC000"/>
  </sheetPr>
  <dimension ref="B1:Y85"/>
  <sheetViews>
    <sheetView showGridLines="0" showRowColHeaders="0" topLeftCell="F1" zoomScaleNormal="100" zoomScaleSheetLayoutView="96" workbookViewId="0">
      <selection activeCell="F25" sqref="F25"/>
    </sheetView>
  </sheetViews>
  <sheetFormatPr defaultColWidth="9.1796875" defaultRowHeight="14" outlineLevelCol="1" x14ac:dyDescent="0.3"/>
  <cols>
    <col min="1" max="2" width="4" style="1" customWidth="1"/>
    <col min="3" max="4" width="4" style="6" customWidth="1"/>
    <col min="5" max="5" width="40.6328125" style="1" customWidth="1"/>
    <col min="6" max="6" width="15.6328125" style="1" customWidth="1"/>
    <col min="7" max="7" width="4" style="1" customWidth="1"/>
    <col min="8" max="9" width="4" style="6" customWidth="1"/>
    <col min="10" max="10" width="40.6328125" style="1" customWidth="1"/>
    <col min="11" max="11" width="15.6328125" style="1" customWidth="1"/>
    <col min="12" max="12" width="4" style="1" customWidth="1"/>
    <col min="13" max="13" width="9.36328125" style="1" bestFit="1" customWidth="1"/>
    <col min="14" max="14" width="8.1796875" style="1" hidden="1" customWidth="1" outlineLevel="1"/>
    <col min="15" max="16" width="16.453125" style="1" hidden="1" customWidth="1" outlineLevel="1"/>
    <col min="17" max="18" width="14.36328125" style="1" hidden="1" customWidth="1" outlineLevel="1"/>
    <col min="19" max="20" width="2.36328125" style="1" hidden="1" customWidth="1" outlineLevel="1"/>
    <col min="21" max="21" width="9.1796875" style="1" hidden="1" customWidth="1" outlineLevel="1"/>
    <col min="22" max="22" width="16.6328125" style="1" hidden="1" customWidth="1" outlineLevel="1"/>
    <col min="23" max="23" width="9.1796875" style="1" hidden="1" customWidth="1" outlineLevel="1"/>
    <col min="24" max="24" width="2.36328125" style="1" hidden="1" customWidth="1" outlineLevel="1"/>
    <col min="25" max="25" width="9.1796875" style="1" collapsed="1"/>
    <col min="26" max="16384" width="9.1796875" style="1"/>
  </cols>
  <sheetData>
    <row r="1" spans="2:24" ht="14.5" thickBot="1" x14ac:dyDescent="0.35"/>
    <row r="2" spans="2:24" ht="15" customHeight="1" thickTop="1" x14ac:dyDescent="0.35">
      <c r="B2" s="110"/>
      <c r="C2" s="111"/>
      <c r="D2" s="111"/>
      <c r="E2" s="111"/>
      <c r="F2" s="111"/>
      <c r="G2" s="111"/>
      <c r="H2" s="111"/>
      <c r="I2" s="111"/>
      <c r="J2" s="111"/>
      <c r="K2" s="111"/>
      <c r="L2" s="112"/>
      <c r="N2" s="6"/>
      <c r="O2" s="54">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8.7200000000000006</v>
      </c>
      <c r="S2" s="6"/>
      <c r="T2" s="6"/>
      <c r="V2" s="2">
        <f>'(9)Annual Cash Flow Projection'!E15</f>
        <v>4360000</v>
      </c>
      <c r="X2" s="1">
        <v>0</v>
      </c>
    </row>
    <row r="3" spans="2:24" ht="15" customHeight="1" x14ac:dyDescent="0.7">
      <c r="B3" s="113"/>
      <c r="C3" s="114"/>
      <c r="D3" s="114"/>
      <c r="E3" s="114"/>
      <c r="F3" s="114"/>
      <c r="G3" s="227" t="s">
        <v>293</v>
      </c>
      <c r="H3" s="227"/>
      <c r="I3" s="227"/>
      <c r="J3" s="227"/>
      <c r="K3" s="227"/>
      <c r="L3" s="115"/>
      <c r="N3" s="6"/>
      <c r="O3" s="54">
        <f>IF('(9)Annual Cash Flow Projection'!E15=0,0,('(9)Annual Cash Flow Projection'!E15-'(9)Annual Cash Flow Projection'!E19)/'(9)Annual Cash Flow Projection'!E15)</f>
        <v>8.6999999999999994E-2</v>
      </c>
      <c r="Q3" s="1">
        <f ca="1">IF(O8=0,0,(O8-O16)/O8)</f>
        <v>0.50850009019328668</v>
      </c>
      <c r="S3" s="6"/>
      <c r="T3" s="6"/>
      <c r="V3" s="1">
        <f>SUM('(9)Annual Cash Flow Projection'!E16:E18)</f>
        <v>379320</v>
      </c>
      <c r="X3" s="1">
        <v>0</v>
      </c>
    </row>
    <row r="4" spans="2:24" ht="15" customHeight="1" x14ac:dyDescent="0.7">
      <c r="B4" s="113"/>
      <c r="C4" s="114"/>
      <c r="D4" s="114"/>
      <c r="E4" s="114"/>
      <c r="F4" s="114"/>
      <c r="G4" s="227"/>
      <c r="H4" s="227"/>
      <c r="I4" s="227"/>
      <c r="J4" s="227"/>
      <c r="K4" s="227"/>
      <c r="L4" s="115"/>
      <c r="N4" s="6"/>
      <c r="O4" s="54">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8.6999999999999994E-2</v>
      </c>
      <c r="S4" s="6"/>
      <c r="T4" s="6"/>
      <c r="V4" s="2">
        <f>V2-V3</f>
        <v>3980680</v>
      </c>
      <c r="X4" s="1">
        <v>0</v>
      </c>
    </row>
    <row r="5" spans="2:24" ht="15" customHeight="1" x14ac:dyDescent="0.7">
      <c r="B5" s="113"/>
      <c r="C5" s="114"/>
      <c r="D5" s="114"/>
      <c r="E5" s="114"/>
      <c r="F5" s="114"/>
      <c r="G5" s="227"/>
      <c r="H5" s="227"/>
      <c r="I5" s="227"/>
      <c r="J5" s="227"/>
      <c r="K5" s="227"/>
      <c r="L5" s="115"/>
      <c r="N5" s="6">
        <f>O43</f>
        <v>500000</v>
      </c>
      <c r="O5" s="6">
        <f>'(4)Income &amp; Expense Input'!E13</f>
        <v>8.7200000000000006</v>
      </c>
      <c r="P5" s="1">
        <f>N5*O5</f>
        <v>4360000</v>
      </c>
      <c r="S5" s="6"/>
      <c r="T5" s="6"/>
      <c r="V5" s="1">
        <f>SUM('(9)Annual Cash Flow Projection'!E25:E31)+SUM('(9)Annual Cash Flow Projection'!E35:E41)+SUM('(9)Annual Cash Flow Projection'!E45:E51)</f>
        <v>0</v>
      </c>
      <c r="X5" s="1">
        <v>0</v>
      </c>
    </row>
    <row r="6" spans="2:24" ht="15" customHeight="1" thickBot="1" x14ac:dyDescent="0.4">
      <c r="B6" s="116"/>
      <c r="C6" s="117"/>
      <c r="D6" s="117"/>
      <c r="E6" s="117"/>
      <c r="F6" s="117"/>
      <c r="G6" s="117"/>
      <c r="H6" s="117"/>
      <c r="I6" s="117"/>
      <c r="J6" s="117"/>
      <c r="K6" s="117"/>
      <c r="L6" s="118"/>
      <c r="N6" s="6">
        <f>O44</f>
        <v>0</v>
      </c>
      <c r="O6" s="6">
        <f>'(4)Income &amp; Expense Input'!E16</f>
        <v>0</v>
      </c>
      <c r="P6" s="1">
        <f>N6*O6</f>
        <v>0</v>
      </c>
      <c r="R6" s="3"/>
      <c r="S6" s="6"/>
      <c r="T6" s="6"/>
      <c r="V6" s="3">
        <f>V4+V5</f>
        <v>3980680</v>
      </c>
      <c r="X6" s="1">
        <v>0</v>
      </c>
    </row>
    <row r="7" spans="2:24" ht="15" customHeight="1" thickTop="1" x14ac:dyDescent="0.55000000000000004">
      <c r="B7" s="136"/>
      <c r="C7" s="219" t="s">
        <v>200</v>
      </c>
      <c r="D7" s="219"/>
      <c r="E7" s="219"/>
      <c r="F7" s="219"/>
      <c r="G7" s="219"/>
      <c r="H7" s="122"/>
      <c r="I7" s="122"/>
      <c r="J7" s="122"/>
      <c r="K7" s="122"/>
      <c r="L7" s="142"/>
      <c r="N7" s="6">
        <f>O45</f>
        <v>0</v>
      </c>
      <c r="O7" s="6">
        <f>'(4)Income &amp; Expense Input'!E19</f>
        <v>0</v>
      </c>
      <c r="P7" s="1">
        <f>N7*O7</f>
        <v>0</v>
      </c>
      <c r="S7" s="6"/>
      <c r="T7" s="6"/>
      <c r="V7" s="1">
        <f>SUM('(9)Annual Cash Flow Projection'!E56:E62)</f>
        <v>0</v>
      </c>
      <c r="X7" s="1">
        <v>0</v>
      </c>
    </row>
    <row r="8" spans="2:24" ht="14.25" customHeight="1" x14ac:dyDescent="0.55000000000000004">
      <c r="B8" s="125"/>
      <c r="C8" s="221"/>
      <c r="D8" s="221"/>
      <c r="E8" s="221"/>
      <c r="F8" s="221"/>
      <c r="G8" s="221"/>
      <c r="H8" s="18"/>
      <c r="I8" s="18"/>
      <c r="J8" s="18"/>
      <c r="K8" s="18"/>
      <c r="L8" s="126"/>
      <c r="N8" s="6"/>
      <c r="O8" s="6">
        <f>IF(O46=0,0,P8/O46)</f>
        <v>8.7200000000000006</v>
      </c>
      <c r="P8" s="1">
        <f>P5+P6+P7</f>
        <v>4360000</v>
      </c>
      <c r="S8" s="6"/>
      <c r="T8" s="6"/>
      <c r="V8" s="1">
        <f>V6-V7</f>
        <v>3980680</v>
      </c>
      <c r="X8" s="1">
        <v>0</v>
      </c>
    </row>
    <row r="9" spans="2:24" ht="14.25" customHeight="1" x14ac:dyDescent="0.55000000000000004">
      <c r="B9" s="125"/>
      <c r="C9" s="221"/>
      <c r="D9" s="221"/>
      <c r="E9" s="221"/>
      <c r="F9" s="221"/>
      <c r="G9" s="221"/>
      <c r="H9" s="18"/>
      <c r="I9" s="18"/>
      <c r="J9" s="18"/>
      <c r="K9" s="18"/>
      <c r="L9" s="126"/>
      <c r="N9" s="6"/>
      <c r="O9" s="6"/>
      <c r="S9" s="6"/>
      <c r="T9" s="6"/>
      <c r="V9" s="1">
        <f>'(2)Dev.-Inv. &amp; Lender Input'!E12+'(2)Dev.-Inv. &amp; Lender Input'!E34/(1-'(2)Dev.-Inv. &amp; Lender Input'!E35)-'(2)Dev.-Inv. &amp; Lender Input'!E34+'(2)Dev.-Inv. &amp; Lender Input'!E34</f>
        <v>8.1326530612244902E-2</v>
      </c>
      <c r="X9" s="1">
        <v>0</v>
      </c>
    </row>
    <row r="10" spans="2:24" x14ac:dyDescent="0.3">
      <c r="B10" s="125"/>
      <c r="C10" s="204" t="s">
        <v>166</v>
      </c>
      <c r="D10" s="205"/>
      <c r="E10" s="205"/>
      <c r="F10" s="206"/>
      <c r="H10" s="204" t="s">
        <v>167</v>
      </c>
      <c r="I10" s="205"/>
      <c r="J10" s="205"/>
      <c r="K10" s="206"/>
      <c r="L10" s="126"/>
      <c r="N10" s="6">
        <f>O43</f>
        <v>500000</v>
      </c>
      <c r="O10" s="6">
        <f ca="1">O5*(1-Q3)</f>
        <v>4.2858792135145407</v>
      </c>
      <c r="P10" s="1">
        <f ca="1">N10*O10</f>
        <v>2142939.6067572702</v>
      </c>
      <c r="S10" s="6"/>
      <c r="T10" s="6"/>
      <c r="V10" s="1">
        <f>IF(V9=0,0,V8/V9)</f>
        <v>48946880.803011291</v>
      </c>
      <c r="X10" s="1">
        <v>0</v>
      </c>
    </row>
    <row r="11" spans="2:24" x14ac:dyDescent="0.3">
      <c r="B11" s="125"/>
      <c r="C11" s="7">
        <v>1</v>
      </c>
      <c r="D11" s="55"/>
      <c r="E11" s="8" t="s">
        <v>201</v>
      </c>
      <c r="F11" s="19">
        <f>R11</f>
        <v>6.5000000000000002E-2</v>
      </c>
      <c r="H11" s="7">
        <v>1</v>
      </c>
      <c r="I11" s="55"/>
      <c r="J11" s="8" t="s">
        <v>169</v>
      </c>
      <c r="K11" s="21">
        <f>V2</f>
        <v>4360000</v>
      </c>
      <c r="L11" s="126"/>
      <c r="N11" s="6">
        <f>O44</f>
        <v>0</v>
      </c>
      <c r="O11" s="6">
        <f ca="1">O6*(1-Q3)</f>
        <v>0</v>
      </c>
      <c r="P11" s="1">
        <f ca="1">N11*O11</f>
        <v>0</v>
      </c>
      <c r="R11" s="1">
        <f>'(2)Dev.-Inv. &amp; Lender Input'!E34</f>
        <v>6.5000000000000002E-2</v>
      </c>
      <c r="S11" s="6"/>
      <c r="T11" s="6">
        <v>0</v>
      </c>
      <c r="V11" s="1">
        <f ca="1">'(6)Development Budget'!H74-'(6)Development Budget'!H22</f>
        <v>21431387.5</v>
      </c>
      <c r="X11" s="1">
        <v>0</v>
      </c>
    </row>
    <row r="12" spans="2:24" x14ac:dyDescent="0.3">
      <c r="B12" s="125"/>
      <c r="C12" s="11">
        <v>2</v>
      </c>
      <c r="D12" s="56" t="s">
        <v>177</v>
      </c>
      <c r="E12" s="12" t="s">
        <v>202</v>
      </c>
      <c r="F12" s="48">
        <f t="shared" ref="F12:F16" si="0">R12</f>
        <v>1.3265306122449E-3</v>
      </c>
      <c r="H12" s="11">
        <v>2</v>
      </c>
      <c r="I12" s="56" t="s">
        <v>172</v>
      </c>
      <c r="J12" s="12" t="s">
        <v>173</v>
      </c>
      <c r="K12" s="22">
        <f t="shared" ref="K12:K21" si="1">V3</f>
        <v>379320</v>
      </c>
      <c r="L12" s="126"/>
      <c r="N12" s="6">
        <f>O45</f>
        <v>0</v>
      </c>
      <c r="O12" s="6">
        <f ca="1">O7*(1-Q3)</f>
        <v>0</v>
      </c>
      <c r="P12" s="1">
        <f ca="1">N12*O12</f>
        <v>0</v>
      </c>
      <c r="R12" s="3">
        <f>R11/(1-'(2)Dev.-Inv. &amp; Lender Input'!E35)-'(8)Rent Constant Feasibility'!R11</f>
        <v>1.3265306122449E-3</v>
      </c>
      <c r="S12" s="6"/>
      <c r="T12" s="6">
        <v>0</v>
      </c>
      <c r="V12" s="4">
        <f ca="1">V10-V11</f>
        <v>27515493.303011291</v>
      </c>
      <c r="X12" s="1">
        <v>0</v>
      </c>
    </row>
    <row r="13" spans="2:24" x14ac:dyDescent="0.3">
      <c r="B13" s="125"/>
      <c r="C13" s="11">
        <v>3</v>
      </c>
      <c r="D13" s="56" t="s">
        <v>177</v>
      </c>
      <c r="E13" s="12" t="s">
        <v>203</v>
      </c>
      <c r="F13" s="48">
        <f t="shared" si="0"/>
        <v>1.4999999999999999E-2</v>
      </c>
      <c r="H13" s="11">
        <v>3</v>
      </c>
      <c r="I13" s="56" t="s">
        <v>174</v>
      </c>
      <c r="J13" s="12" t="s">
        <v>176</v>
      </c>
      <c r="K13" s="22">
        <f t="shared" si="1"/>
        <v>3980680</v>
      </c>
      <c r="L13" s="126"/>
      <c r="N13" s="6">
        <f>N10+N11+N12</f>
        <v>500000</v>
      </c>
      <c r="O13" s="6">
        <f ca="1">IF(N13=0,0,P13/N13)</f>
        <v>4.2858792135145407</v>
      </c>
      <c r="P13" s="1">
        <f ca="1">P10+P11+P12</f>
        <v>2142939.6067572702</v>
      </c>
      <c r="R13" s="1">
        <f>'(2)Dev.-Inv. &amp; Lender Input'!E12</f>
        <v>1.4999999999999999E-2</v>
      </c>
      <c r="S13" s="6"/>
      <c r="T13" s="6">
        <v>0</v>
      </c>
      <c r="V13" s="1">
        <f ca="1">IF(V12=0,0,IF('(3)Development Budget Input'!E14&lt;100,V12/'(3)Development Budget Input'!E14,V12/('(3)Development Budget Input'!E14/43560)))</f>
        <v>1198574.8882791719</v>
      </c>
      <c r="X13" s="1">
        <v>0</v>
      </c>
    </row>
    <row r="14" spans="2:24" x14ac:dyDescent="0.3">
      <c r="B14" s="125"/>
      <c r="C14" s="11">
        <v>4</v>
      </c>
      <c r="D14" s="56" t="s">
        <v>174</v>
      </c>
      <c r="E14" s="12" t="s">
        <v>204</v>
      </c>
      <c r="F14" s="48">
        <f t="shared" si="0"/>
        <v>8.1326530612244902E-2</v>
      </c>
      <c r="H14" s="11">
        <v>4</v>
      </c>
      <c r="I14" s="56" t="s">
        <v>177</v>
      </c>
      <c r="J14" s="12" t="s">
        <v>178</v>
      </c>
      <c r="K14" s="22">
        <f t="shared" si="1"/>
        <v>0</v>
      </c>
      <c r="L14" s="126"/>
      <c r="N14" s="6"/>
      <c r="O14" s="6"/>
      <c r="R14" s="1">
        <f>R11+R12+R13</f>
        <v>8.1326530612244902E-2</v>
      </c>
      <c r="S14" s="6"/>
      <c r="T14" s="6">
        <v>0</v>
      </c>
      <c r="V14" s="1">
        <f ca="1">V13/43560</f>
        <v>27.515493303011294</v>
      </c>
      <c r="X14" s="1">
        <v>0</v>
      </c>
    </row>
    <row r="15" spans="2:24" x14ac:dyDescent="0.3">
      <c r="B15" s="125"/>
      <c r="C15" s="11">
        <v>5</v>
      </c>
      <c r="D15" s="56" t="s">
        <v>170</v>
      </c>
      <c r="E15" s="12" t="s">
        <v>168</v>
      </c>
      <c r="F15" s="22">
        <f t="shared" ca="1" si="0"/>
        <v>24057387.5</v>
      </c>
      <c r="H15" s="11">
        <v>5</v>
      </c>
      <c r="I15" s="56" t="s">
        <v>174</v>
      </c>
      <c r="J15" s="12" t="s">
        <v>180</v>
      </c>
      <c r="K15" s="22">
        <f t="shared" si="1"/>
        <v>3980680</v>
      </c>
      <c r="L15" s="126"/>
      <c r="N15" s="6"/>
      <c r="O15" s="6"/>
      <c r="R15" s="1">
        <f ca="1">'(6)Development Budget'!H74</f>
        <v>24057387.5</v>
      </c>
      <c r="S15" s="6"/>
      <c r="T15" s="6">
        <v>0</v>
      </c>
      <c r="V15" s="1">
        <f ca="1">'(6)Development Budget'!H74</f>
        <v>24057387.5</v>
      </c>
      <c r="X15" s="1">
        <v>0</v>
      </c>
    </row>
    <row r="16" spans="2:24" x14ac:dyDescent="0.3">
      <c r="B16" s="125"/>
      <c r="C16" s="11">
        <v>6</v>
      </c>
      <c r="D16" s="56" t="s">
        <v>174</v>
      </c>
      <c r="E16" s="12" t="s">
        <v>187</v>
      </c>
      <c r="F16" s="22">
        <f t="shared" ca="1" si="0"/>
        <v>1956503.8609693879</v>
      </c>
      <c r="H16" s="11">
        <v>6</v>
      </c>
      <c r="I16" s="56" t="s">
        <v>172</v>
      </c>
      <c r="J16" s="12" t="s">
        <v>182</v>
      </c>
      <c r="K16" s="22">
        <f t="shared" si="1"/>
        <v>0</v>
      </c>
      <c r="L16" s="126"/>
      <c r="N16" s="6"/>
      <c r="O16" s="54">
        <f ca="1">F25</f>
        <v>4.2858792135145407</v>
      </c>
      <c r="R16" s="1">
        <f ca="1">R14*R15</f>
        <v>1956503.8609693879</v>
      </c>
      <c r="S16" s="6"/>
      <c r="T16" s="6">
        <v>0</v>
      </c>
      <c r="V16" s="1">
        <f ca="1">V10-V15</f>
        <v>24889493.303011291</v>
      </c>
      <c r="X16" s="1">
        <v>0</v>
      </c>
    </row>
    <row r="17" spans="2:20" x14ac:dyDescent="0.3">
      <c r="B17" s="125"/>
      <c r="C17" s="11">
        <v>7</v>
      </c>
      <c r="D17" s="56" t="s">
        <v>177</v>
      </c>
      <c r="E17" s="12" t="s">
        <v>182</v>
      </c>
      <c r="F17" s="22">
        <f>R18</f>
        <v>0</v>
      </c>
      <c r="H17" s="11">
        <v>7</v>
      </c>
      <c r="I17" s="56" t="s">
        <v>174</v>
      </c>
      <c r="J17" s="12" t="s">
        <v>184</v>
      </c>
      <c r="K17" s="22">
        <f t="shared" si="1"/>
        <v>3980680</v>
      </c>
      <c r="L17" s="126"/>
      <c r="N17" s="6"/>
      <c r="O17" s="54">
        <f ca="1">N13*O16</f>
        <v>2142939.6067572702</v>
      </c>
      <c r="Q17" s="1">
        <f>O24</f>
        <v>0</v>
      </c>
      <c r="R17" s="1">
        <f ca="1">O25</f>
        <v>0</v>
      </c>
      <c r="S17" s="6">
        <f ca="1">R17+R18</f>
        <v>0</v>
      </c>
      <c r="T17" s="6">
        <v>0</v>
      </c>
    </row>
    <row r="18" spans="2:20" x14ac:dyDescent="0.3">
      <c r="B18" s="125"/>
      <c r="C18" s="11">
        <v>8</v>
      </c>
      <c r="D18" s="56" t="s">
        <v>174</v>
      </c>
      <c r="E18" s="12" t="s">
        <v>180</v>
      </c>
      <c r="F18" s="22">
        <f ca="1">R19</f>
        <v>1956503.8609693879</v>
      </c>
      <c r="H18" s="11">
        <v>8</v>
      </c>
      <c r="I18" s="56" t="s">
        <v>186</v>
      </c>
      <c r="J18" s="12" t="s">
        <v>204</v>
      </c>
      <c r="K18" s="48">
        <f t="shared" si="1"/>
        <v>8.1326530612244902E-2</v>
      </c>
      <c r="L18" s="126"/>
      <c r="N18" s="6"/>
      <c r="O18" s="6">
        <f ca="1">O17*O3</f>
        <v>186435.74578788248</v>
      </c>
      <c r="Q18" s="1">
        <f>O23</f>
        <v>0</v>
      </c>
      <c r="R18" s="1">
        <f>Q17+Q18</f>
        <v>0</v>
      </c>
      <c r="S18" s="6"/>
      <c r="T18" s="6">
        <v>0</v>
      </c>
    </row>
    <row r="19" spans="2:20" x14ac:dyDescent="0.3">
      <c r="B19" s="125"/>
      <c r="C19" s="11">
        <v>9</v>
      </c>
      <c r="D19" s="56" t="s">
        <v>172</v>
      </c>
      <c r="E19" s="12" t="s">
        <v>190</v>
      </c>
      <c r="F19" s="22">
        <f>R21</f>
        <v>0</v>
      </c>
      <c r="H19" s="11">
        <v>9</v>
      </c>
      <c r="I19" s="56" t="s">
        <v>174</v>
      </c>
      <c r="J19" s="12" t="s">
        <v>192</v>
      </c>
      <c r="K19" s="22">
        <f t="shared" si="1"/>
        <v>48946880.803011291</v>
      </c>
      <c r="L19" s="126"/>
      <c r="N19" s="6"/>
      <c r="O19" s="6">
        <f ca="1">O17-O18</f>
        <v>1956503.8609693877</v>
      </c>
      <c r="R19" s="1">
        <f ca="1">R16+R17+R18</f>
        <v>1956503.8609693879</v>
      </c>
      <c r="S19" s="6"/>
      <c r="T19" s="6">
        <v>0</v>
      </c>
    </row>
    <row r="20" spans="2:20" x14ac:dyDescent="0.3">
      <c r="B20" s="125"/>
      <c r="C20" s="11">
        <v>10</v>
      </c>
      <c r="D20" s="56" t="s">
        <v>174</v>
      </c>
      <c r="E20" s="12" t="s">
        <v>176</v>
      </c>
      <c r="F20" s="22">
        <f ca="1">R22</f>
        <v>1956503.8609693879</v>
      </c>
      <c r="H20" s="11">
        <v>10</v>
      </c>
      <c r="I20" s="56" t="s">
        <v>172</v>
      </c>
      <c r="J20" s="12" t="s">
        <v>193</v>
      </c>
      <c r="K20" s="22">
        <f t="shared" ca="1" si="1"/>
        <v>21431387.5</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row>
    <row r="21" spans="2:20" x14ac:dyDescent="0.3">
      <c r="B21" s="125"/>
      <c r="C21" s="11">
        <v>11</v>
      </c>
      <c r="D21" s="56" t="s">
        <v>177</v>
      </c>
      <c r="E21" s="12" t="s">
        <v>173</v>
      </c>
      <c r="F21" s="22">
        <f ca="1">R23</f>
        <v>186435.74578788225</v>
      </c>
      <c r="H21" s="9">
        <v>11</v>
      </c>
      <c r="I21" s="57" t="s">
        <v>174</v>
      </c>
      <c r="J21" s="10" t="s">
        <v>291</v>
      </c>
      <c r="K21" s="23">
        <f t="shared" ca="1" si="1"/>
        <v>27515493.303011291</v>
      </c>
      <c r="L21" s="126"/>
      <c r="N21" s="6"/>
      <c r="O21" s="54">
        <f ca="1">P41</f>
        <v>0</v>
      </c>
      <c r="R21" s="1">
        <f>O20</f>
        <v>0</v>
      </c>
      <c r="S21" s="6">
        <f ca="1">R20+R21</f>
        <v>0</v>
      </c>
      <c r="T21" s="6">
        <v>0</v>
      </c>
    </row>
    <row r="22" spans="2:20" x14ac:dyDescent="0.3">
      <c r="B22" s="125"/>
      <c r="C22" s="9">
        <v>12</v>
      </c>
      <c r="D22" s="57" t="s">
        <v>174</v>
      </c>
      <c r="E22" s="10" t="s">
        <v>169</v>
      </c>
      <c r="F22" s="23">
        <f ca="1">R24</f>
        <v>2142939.6067572702</v>
      </c>
      <c r="H22" s="58"/>
      <c r="I22" s="58"/>
      <c r="J22" s="59"/>
      <c r="K22" s="60"/>
      <c r="L22" s="126"/>
      <c r="N22" s="6"/>
      <c r="O22" s="6">
        <f ca="1">O19+O20+O21</f>
        <v>1956503.8609693877</v>
      </c>
      <c r="R22" s="1">
        <f ca="1">R19-R20-R21</f>
        <v>1956503.8609693879</v>
      </c>
      <c r="S22" s="6"/>
      <c r="T22" s="6">
        <v>0</v>
      </c>
    </row>
    <row r="23" spans="2:20" x14ac:dyDescent="0.3">
      <c r="B23" s="125"/>
      <c r="F23" s="2"/>
      <c r="K23" s="2"/>
      <c r="L23" s="126"/>
      <c r="N23" s="6"/>
      <c r="O23" s="6">
        <f>('(4)Income &amp; Expense Input'!E12+'(4)Income &amp; Expense Input'!E15+'(4)Income &amp; Expense Input'!E18)*SUM('(4)Income &amp; Expense Input'!E24:E28)</f>
        <v>0</v>
      </c>
      <c r="R23" s="1">
        <f ca="1">(R22/(1-O3))-R22</f>
        <v>186435.74578788225</v>
      </c>
      <c r="S23" s="6"/>
      <c r="T23" s="6">
        <v>0</v>
      </c>
    </row>
    <row r="24" spans="2:20" x14ac:dyDescent="0.3">
      <c r="B24" s="125"/>
      <c r="C24" s="204" t="s">
        <v>194</v>
      </c>
      <c r="D24" s="205"/>
      <c r="E24" s="205"/>
      <c r="F24" s="206"/>
      <c r="H24" s="204" t="s">
        <v>195</v>
      </c>
      <c r="I24" s="205"/>
      <c r="J24" s="205"/>
      <c r="K24" s="206"/>
      <c r="L24" s="126"/>
      <c r="N24" s="6"/>
      <c r="O24" s="6">
        <f>('(4)Income &amp; Expense Input'!E12+'(4)Income &amp; Expense Input'!E15+'(4)Income &amp; Expense Input'!E18)*'(4)Income &amp; Expense Input'!E29</f>
        <v>0</v>
      </c>
      <c r="R24" s="1">
        <f ca="1">R22+R23</f>
        <v>2142939.6067572702</v>
      </c>
      <c r="S24" s="6"/>
      <c r="T24" s="6">
        <v>0</v>
      </c>
    </row>
    <row r="25" spans="2:20" x14ac:dyDescent="0.3">
      <c r="B25" s="125"/>
      <c r="C25" s="169">
        <v>13</v>
      </c>
      <c r="D25" s="170" t="s">
        <v>196</v>
      </c>
      <c r="E25" s="171"/>
      <c r="F25" s="172">
        <f ca="1">R25</f>
        <v>4.2858792135145407</v>
      </c>
      <c r="H25" s="169">
        <v>12</v>
      </c>
      <c r="I25" s="170" t="s">
        <v>301</v>
      </c>
      <c r="J25" s="171"/>
      <c r="K25" s="175">
        <f ca="1">V13</f>
        <v>1198574.8882791719</v>
      </c>
      <c r="L25" s="126"/>
      <c r="N25" s="6"/>
      <c r="O25" s="54">
        <f ca="1">O22*'(4)Income &amp; Expense Input'!E30</f>
        <v>0</v>
      </c>
      <c r="R25" s="1">
        <f ca="1">IF(O46=0,0,R24/O46)</f>
        <v>4.2858792135145407</v>
      </c>
      <c r="S25" s="6"/>
      <c r="T25" s="6">
        <v>0</v>
      </c>
    </row>
    <row r="26" spans="2:20" x14ac:dyDescent="0.3">
      <c r="B26" s="125"/>
      <c r="C26" s="29">
        <v>14</v>
      </c>
      <c r="D26" s="173" t="s">
        <v>197</v>
      </c>
      <c r="E26" s="24"/>
      <c r="F26" s="61">
        <f t="shared" ref="F26:F28" ca="1" si="2">R26</f>
        <v>4.2858792135145407</v>
      </c>
      <c r="H26" s="29">
        <v>13</v>
      </c>
      <c r="I26" s="173" t="s">
        <v>300</v>
      </c>
      <c r="J26" s="24"/>
      <c r="K26" s="61">
        <f ca="1">V14</f>
        <v>27.515493303011294</v>
      </c>
      <c r="L26" s="126"/>
      <c r="N26" s="6"/>
      <c r="O26" s="54">
        <f ca="1">O22-O23-O24-O25</f>
        <v>1956503.8609693877</v>
      </c>
      <c r="R26" s="1">
        <f ca="1">O5*(1-Q3)</f>
        <v>4.2858792135145407</v>
      </c>
      <c r="S26" s="6"/>
      <c r="T26" s="6">
        <v>0</v>
      </c>
    </row>
    <row r="27" spans="2:20" x14ac:dyDescent="0.3">
      <c r="B27" s="125"/>
      <c r="C27" s="29">
        <v>15</v>
      </c>
      <c r="D27" s="173" t="s">
        <v>198</v>
      </c>
      <c r="E27" s="24"/>
      <c r="F27" s="61">
        <f t="shared" ca="1" si="2"/>
        <v>0</v>
      </c>
      <c r="H27" s="30">
        <v>14</v>
      </c>
      <c r="I27" s="174" t="s">
        <v>302</v>
      </c>
      <c r="J27" s="26"/>
      <c r="K27" s="28">
        <f ca="1">V12</f>
        <v>27515493.303011291</v>
      </c>
      <c r="L27" s="126"/>
      <c r="N27" s="6"/>
      <c r="O27" s="54"/>
      <c r="R27" s="1">
        <f ca="1">O6*(1-Q3)</f>
        <v>0</v>
      </c>
      <c r="S27" s="6"/>
      <c r="T27" s="6"/>
    </row>
    <row r="28" spans="2:20" x14ac:dyDescent="0.3">
      <c r="B28" s="125"/>
      <c r="C28" s="30">
        <v>16</v>
      </c>
      <c r="D28" s="174" t="s">
        <v>199</v>
      </c>
      <c r="E28" s="26"/>
      <c r="F28" s="168">
        <f t="shared" ca="1" si="2"/>
        <v>0</v>
      </c>
      <c r="L28" s="126"/>
      <c r="N28" s="6"/>
      <c r="O28" s="6">
        <f>('(4)Income &amp; Expense Input'!E12*(1-'(4)Income &amp; Expense Input'!E14))*SUM('(4)Income &amp; Expense Input'!E36:E41)</f>
        <v>0</v>
      </c>
      <c r="R28" s="1">
        <f ca="1">O7*(1-Q3)</f>
        <v>0</v>
      </c>
      <c r="S28" s="6"/>
      <c r="T28" s="6"/>
    </row>
    <row r="29" spans="2:20" x14ac:dyDescent="0.3">
      <c r="B29" s="125"/>
      <c r="L29" s="126"/>
      <c r="N29" s="6"/>
      <c r="O29" s="6">
        <f>('(4)Income &amp; Expense Input'!E15*(1-'(4)Income &amp; Expense Input'!E17))*SUM('(4)Income &amp; Expense Input'!E46:E51)</f>
        <v>0</v>
      </c>
      <c r="S29" s="6"/>
      <c r="T29" s="6"/>
    </row>
    <row r="30" spans="2:20" x14ac:dyDescent="0.3">
      <c r="B30" s="125"/>
      <c r="L30" s="126"/>
      <c r="N30" s="6"/>
      <c r="O30" s="6">
        <f>('(4)Income &amp; Expense Input'!E18*(1-'(4)Income &amp; Expense Input'!E20))*SUM('(4)Income &amp; Expense Input'!E56:E61)</f>
        <v>0</v>
      </c>
      <c r="S30" s="6"/>
      <c r="T30" s="6"/>
    </row>
    <row r="31" spans="2:20" x14ac:dyDescent="0.3">
      <c r="B31" s="125"/>
      <c r="L31" s="126"/>
      <c r="N31" s="6"/>
      <c r="O31" s="6">
        <f>O28+O29+O30</f>
        <v>0</v>
      </c>
      <c r="S31" s="6"/>
      <c r="T31" s="6"/>
    </row>
    <row r="32" spans="2:20" x14ac:dyDescent="0.3">
      <c r="B32" s="125"/>
      <c r="L32" s="126"/>
      <c r="N32" s="6"/>
      <c r="O32" s="6"/>
      <c r="S32" s="6"/>
      <c r="T32" s="6"/>
    </row>
    <row r="33" spans="2:20" x14ac:dyDescent="0.3">
      <c r="B33" s="125"/>
      <c r="L33" s="126"/>
      <c r="N33" s="6"/>
      <c r="O33" s="6">
        <f ca="1">O43*O10</f>
        <v>2142939.6067572702</v>
      </c>
      <c r="P33" s="1">
        <f ca="1">O33*(1-'(4)Income &amp; Expense Input'!E14)</f>
        <v>1956503.8609693877</v>
      </c>
      <c r="S33" s="6"/>
      <c r="T33" s="6"/>
    </row>
    <row r="34" spans="2:20" x14ac:dyDescent="0.3">
      <c r="B34" s="125"/>
      <c r="L34" s="126"/>
      <c r="N34" s="6"/>
      <c r="O34" s="6">
        <f ca="1">O44*O11</f>
        <v>0</v>
      </c>
      <c r="P34" s="1">
        <f ca="1">O34*(1-'(4)Income &amp; Expense Input'!E17)</f>
        <v>0</v>
      </c>
      <c r="S34" s="6"/>
      <c r="T34" s="6"/>
    </row>
    <row r="35" spans="2:20" x14ac:dyDescent="0.3">
      <c r="B35" s="125"/>
      <c r="L35" s="126"/>
      <c r="N35" s="6"/>
      <c r="O35" s="6">
        <f ca="1">O45*O12</f>
        <v>0</v>
      </c>
      <c r="P35" s="2">
        <f ca="1">O35*(1-'(4)Income &amp; Expense Input'!E20)</f>
        <v>0</v>
      </c>
      <c r="S35" s="6"/>
      <c r="T35" s="6"/>
    </row>
    <row r="36" spans="2:20" x14ac:dyDescent="0.3">
      <c r="B36" s="125"/>
      <c r="L36" s="126"/>
      <c r="N36" s="6"/>
      <c r="O36" s="6">
        <f ca="1">O33+O34+O35</f>
        <v>2142939.6067572702</v>
      </c>
      <c r="P36" s="2">
        <f ca="1">P33+P34+P35</f>
        <v>1956503.8609693877</v>
      </c>
      <c r="S36" s="6"/>
      <c r="T36" s="6"/>
    </row>
    <row r="37" spans="2:20" x14ac:dyDescent="0.3">
      <c r="B37" s="125"/>
      <c r="L37" s="126"/>
      <c r="N37" s="6"/>
      <c r="O37" s="6"/>
      <c r="P37" s="2"/>
      <c r="S37" s="6"/>
      <c r="T37" s="6"/>
    </row>
    <row r="38" spans="2:20" x14ac:dyDescent="0.3">
      <c r="B38" s="125"/>
      <c r="L38" s="126"/>
      <c r="N38" s="6"/>
      <c r="O38" s="6"/>
      <c r="P38" s="1">
        <f ca="1">((O28+P33)/(1-'(4)Income &amp; Expense Input'!E42))-(O28+P33)</f>
        <v>0</v>
      </c>
      <c r="S38" s="6"/>
      <c r="T38" s="6"/>
    </row>
    <row r="39" spans="2:20" x14ac:dyDescent="0.3">
      <c r="B39" s="125"/>
      <c r="L39" s="126"/>
      <c r="N39" s="6"/>
      <c r="O39" s="6"/>
      <c r="P39" s="1">
        <f ca="1">((O29+P34)/(1-'(4)Income &amp; Expense Input'!E52))-(O29+P34)</f>
        <v>0</v>
      </c>
      <c r="S39" s="6"/>
      <c r="T39" s="6"/>
    </row>
    <row r="40" spans="2:20" x14ac:dyDescent="0.3">
      <c r="B40" s="125"/>
      <c r="L40" s="126"/>
      <c r="N40" s="6"/>
      <c r="O40" s="6"/>
      <c r="P40" s="1">
        <f ca="1">((O30+P35)/(1-'(4)Income &amp; Expense Input'!E62))-(O30+P35)</f>
        <v>0</v>
      </c>
      <c r="S40" s="6"/>
      <c r="T40" s="6"/>
    </row>
    <row r="41" spans="2:20" x14ac:dyDescent="0.3">
      <c r="B41" s="125"/>
      <c r="L41" s="126"/>
      <c r="N41" s="6"/>
      <c r="O41" s="6"/>
      <c r="P41" s="1">
        <f ca="1">P38+P39+P40</f>
        <v>0</v>
      </c>
      <c r="S41" s="6"/>
      <c r="T41" s="6"/>
    </row>
    <row r="42" spans="2:20" x14ac:dyDescent="0.3">
      <c r="B42" s="125"/>
      <c r="L42" s="126"/>
      <c r="N42" s="6"/>
      <c r="O42" s="6"/>
      <c r="S42" s="6"/>
      <c r="T42" s="6"/>
    </row>
    <row r="43" spans="2:20" x14ac:dyDescent="0.3">
      <c r="B43" s="125"/>
      <c r="L43" s="126"/>
      <c r="N43" s="6"/>
      <c r="O43" s="6">
        <f>'(4)Income &amp; Expense Input'!E12</f>
        <v>500000</v>
      </c>
      <c r="S43" s="6"/>
      <c r="T43" s="6"/>
    </row>
    <row r="44" spans="2:20" x14ac:dyDescent="0.3">
      <c r="B44" s="125"/>
      <c r="L44" s="126"/>
      <c r="N44" s="6"/>
      <c r="O44" s="6">
        <f>'(4)Income &amp; Expense Input'!E15</f>
        <v>0</v>
      </c>
      <c r="S44" s="6"/>
      <c r="T44" s="6"/>
    </row>
    <row r="45" spans="2:20" x14ac:dyDescent="0.3">
      <c r="B45" s="125"/>
      <c r="L45" s="126"/>
      <c r="N45" s="6"/>
      <c r="O45" s="6">
        <f>'(4)Income &amp; Expense Input'!E18</f>
        <v>0</v>
      </c>
      <c r="S45" s="6"/>
      <c r="T45" s="6"/>
    </row>
    <row r="46" spans="2:20" x14ac:dyDescent="0.3">
      <c r="B46" s="125"/>
      <c r="L46" s="126"/>
      <c r="N46" s="6"/>
      <c r="O46" s="6">
        <f>O43+O44+O45</f>
        <v>500000</v>
      </c>
      <c r="S46" s="6"/>
      <c r="T46" s="6"/>
    </row>
    <row r="47" spans="2:20" x14ac:dyDescent="0.3">
      <c r="B47" s="125"/>
      <c r="L47" s="126"/>
      <c r="N47" s="6"/>
      <c r="O47" s="6"/>
      <c r="S47" s="6"/>
      <c r="T47" s="6"/>
    </row>
    <row r="48" spans="2:20" x14ac:dyDescent="0.3">
      <c r="B48" s="125"/>
      <c r="L48" s="126"/>
    </row>
    <row r="49" spans="2:12" x14ac:dyDescent="0.3">
      <c r="B49" s="125"/>
      <c r="L49" s="126"/>
    </row>
    <row r="50" spans="2:12" x14ac:dyDescent="0.3">
      <c r="B50" s="125"/>
      <c r="L50" s="126"/>
    </row>
    <row r="51" spans="2:12" x14ac:dyDescent="0.3">
      <c r="B51" s="125"/>
      <c r="L51" s="126"/>
    </row>
    <row r="52" spans="2:12" x14ac:dyDescent="0.3">
      <c r="B52" s="125"/>
      <c r="L52" s="126"/>
    </row>
    <row r="53" spans="2:12" x14ac:dyDescent="0.3">
      <c r="B53" s="125"/>
      <c r="L53" s="126"/>
    </row>
    <row r="54" spans="2:12" x14ac:dyDescent="0.3">
      <c r="B54" s="125"/>
      <c r="L54" s="126"/>
    </row>
    <row r="55" spans="2:12" x14ac:dyDescent="0.3">
      <c r="B55" s="125"/>
      <c r="L55" s="126"/>
    </row>
    <row r="56" spans="2:12" x14ac:dyDescent="0.3">
      <c r="B56" s="125"/>
      <c r="L56" s="126"/>
    </row>
    <row r="57" spans="2:12" x14ac:dyDescent="0.3">
      <c r="B57" s="125"/>
      <c r="L57" s="126"/>
    </row>
    <row r="58" spans="2:12" x14ac:dyDescent="0.3">
      <c r="B58" s="125"/>
      <c r="L58" s="126"/>
    </row>
    <row r="59" spans="2:12" x14ac:dyDescent="0.3">
      <c r="B59" s="125"/>
      <c r="L59" s="126"/>
    </row>
    <row r="60" spans="2:12" x14ac:dyDescent="0.3">
      <c r="B60" s="125"/>
      <c r="L60" s="126"/>
    </row>
    <row r="61" spans="2:12" x14ac:dyDescent="0.3">
      <c r="B61" s="125"/>
      <c r="L61" s="126"/>
    </row>
    <row r="62" spans="2:12" x14ac:dyDescent="0.3">
      <c r="B62" s="125"/>
      <c r="L62" s="126"/>
    </row>
    <row r="63" spans="2:12" x14ac:dyDescent="0.3">
      <c r="B63" s="125"/>
      <c r="L63" s="126"/>
    </row>
    <row r="64" spans="2:12" x14ac:dyDescent="0.3">
      <c r="B64" s="125"/>
      <c r="L64" s="126"/>
    </row>
    <row r="65" spans="2:12" x14ac:dyDescent="0.3">
      <c r="B65" s="125"/>
      <c r="L65" s="126"/>
    </row>
    <row r="66" spans="2:12" x14ac:dyDescent="0.3">
      <c r="B66" s="125"/>
      <c r="L66" s="126"/>
    </row>
    <row r="67" spans="2:12" x14ac:dyDescent="0.3">
      <c r="B67" s="125"/>
      <c r="L67" s="126"/>
    </row>
    <row r="68" spans="2:12" x14ac:dyDescent="0.3">
      <c r="B68" s="125"/>
      <c r="L68" s="126"/>
    </row>
    <row r="69" spans="2:12" x14ac:dyDescent="0.3">
      <c r="B69" s="125"/>
      <c r="L69" s="126"/>
    </row>
    <row r="70" spans="2:12" x14ac:dyDescent="0.3">
      <c r="B70" s="125"/>
      <c r="L70" s="126"/>
    </row>
    <row r="71" spans="2:12" x14ac:dyDescent="0.3">
      <c r="B71" s="125"/>
      <c r="C71" s="1" t="str">
        <f>VERSION</f>
        <v>Version 9.0</v>
      </c>
      <c r="K71" s="135">
        <f>'(7)Cost Mark-up Feasibility '!K71+1</f>
        <v>8</v>
      </c>
      <c r="L71" s="126"/>
    </row>
    <row r="72" spans="2:12" ht="14.5" thickBot="1" x14ac:dyDescent="0.35">
      <c r="B72" s="147"/>
      <c r="C72" s="148"/>
      <c r="D72" s="148"/>
      <c r="E72" s="131"/>
      <c r="F72" s="131"/>
      <c r="G72" s="131"/>
      <c r="H72" s="148"/>
      <c r="I72" s="148"/>
      <c r="J72" s="131"/>
      <c r="K72" s="131"/>
      <c r="L72" s="132"/>
    </row>
    <row r="73" spans="2:12" ht="14.5" thickTop="1" x14ac:dyDescent="0.3"/>
    <row r="85" spans="11:11" x14ac:dyDescent="0.3">
      <c r="K85" s="2"/>
    </row>
  </sheetData>
  <sheetProtection sheet="1" objects="1" scenarios="1" selectLockedCells="1"/>
  <mergeCells count="6">
    <mergeCell ref="G3:K5"/>
    <mergeCell ref="C10:F10"/>
    <mergeCell ref="H10:K10"/>
    <mergeCell ref="C24:F24"/>
    <mergeCell ref="H24:K24"/>
    <mergeCell ref="C7:G9"/>
  </mergeCells>
  <printOptions horizontalCentered="1" verticalCentered="1"/>
  <pageMargins left="0" right="0" top="0" bottom="0" header="0" footer="0"/>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8914f8-c331-4a79-a0a5-a1bce7c838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27D744944DBB429BAB2DF8D3BD79A4" ma:contentTypeVersion="18" ma:contentTypeDescription="Create a new document." ma:contentTypeScope="" ma:versionID="8dcc8e9528a1c192812928da6d1b3c24">
  <xsd:schema xmlns:xsd="http://www.w3.org/2001/XMLSchema" xmlns:xs="http://www.w3.org/2001/XMLSchema" xmlns:p="http://schemas.microsoft.com/office/2006/metadata/properties" xmlns:ns3="da8914f8-c331-4a79-a0a5-a1bce7c83856" xmlns:ns4="80c91381-ff4b-4fb1-9f30-28492716c758" targetNamespace="http://schemas.microsoft.com/office/2006/metadata/properties" ma:root="true" ma:fieldsID="c20f474b817c0cc0a83c6879d6969ac9" ns3:_="" ns4:_="">
    <xsd:import namespace="da8914f8-c331-4a79-a0a5-a1bce7c83856"/>
    <xsd:import namespace="80c91381-ff4b-4fb1-9f30-28492716c7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914f8-c331-4a79-a0a5-a1bce7c838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91381-ff4b-4fb1-9f30-28492716c75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E8205-7E31-4788-8988-8C968565605A}">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da8914f8-c331-4a79-a0a5-a1bce7c83856"/>
    <ds:schemaRef ds:uri="http://purl.org/dc/dcmitype/"/>
    <ds:schemaRef ds:uri="http://schemas.microsoft.com/office/infopath/2007/PartnerControls"/>
    <ds:schemaRef ds:uri="http://schemas.openxmlformats.org/package/2006/metadata/core-properties"/>
    <ds:schemaRef ds:uri="80c91381-ff4b-4fb1-9f30-28492716c758"/>
  </ds:schemaRefs>
</ds:datastoreItem>
</file>

<file path=customXml/itemProps2.xml><?xml version="1.0" encoding="utf-8"?>
<ds:datastoreItem xmlns:ds="http://schemas.openxmlformats.org/officeDocument/2006/customXml" ds:itemID="{7C07E966-DB7E-44C2-9972-0B0F290170FF}">
  <ds:schemaRefs>
    <ds:schemaRef ds:uri="http://schemas.microsoft.com/sharepoint/v3/contenttype/forms"/>
  </ds:schemaRefs>
</ds:datastoreItem>
</file>

<file path=customXml/itemProps3.xml><?xml version="1.0" encoding="utf-8"?>
<ds:datastoreItem xmlns:ds="http://schemas.openxmlformats.org/officeDocument/2006/customXml" ds:itemID="{968D6478-C945-4510-87F8-0AB6AD90F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914f8-c331-4a79-a0a5-a1bce7c83856"/>
    <ds:schemaRef ds:uri="80c91381-ff4b-4fb1-9f30-28492716c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LICENSE</vt:lpstr>
      <vt:lpstr>(1) Tbl.Cnts</vt:lpstr>
      <vt:lpstr>(2)Dev.-Inv. &amp; Lender Input</vt:lpstr>
      <vt:lpstr>(3)Development Budget Input</vt:lpstr>
      <vt:lpstr>(4)Income &amp; Expense Input</vt:lpstr>
      <vt:lpstr>(5)Project Summary</vt:lpstr>
      <vt:lpstr>(6)Development Budget</vt:lpstr>
      <vt:lpstr>(7)Cost Mark-up Feasibility </vt:lpstr>
      <vt:lpstr>(8)Rent Constant Feasibility</vt:lpstr>
      <vt:lpstr>(9)Annual Cash Flow Projection</vt:lpstr>
      <vt:lpstr>(10)Sale Proceeds-Ratios</vt:lpstr>
      <vt:lpstr>INPUTS2</vt:lpstr>
      <vt:lpstr>INPUTS3</vt:lpstr>
      <vt:lpstr>INPUTS4</vt:lpstr>
      <vt:lpstr>LICENSE</vt:lpstr>
      <vt:lpstr>'(1) Tbl.Cnts'!Print_Area</vt:lpstr>
      <vt:lpstr>'(10)Sale Proceeds-Ratios'!Print_Area</vt:lpstr>
      <vt:lpstr>'(2)Dev.-Inv. &amp; Lender Input'!Print_Area</vt:lpstr>
      <vt:lpstr>'(3)Development Budget Input'!Print_Area</vt:lpstr>
      <vt:lpstr>'(4)Income &amp; Expense Input'!Print_Area</vt:lpstr>
      <vt:lpstr>'(5)Project Summary'!Print_Area</vt:lpstr>
      <vt:lpstr>'(6)Development Budget'!Print_Area</vt:lpstr>
      <vt:lpstr>'(7)Cost Mark-up Feasibility '!Print_Area</vt:lpstr>
      <vt:lpstr>'(8)Rent Constant Feasibility'!Print_Area</vt:lpstr>
      <vt:lpstr>'(9)Annual Cash Flow Projection'!Print_Area</vt:lpstr>
      <vt:lpstr>LICENSE!Print_Area</vt:lpstr>
      <vt:lpstr>Tbl.Cnts</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Hayes</dc:creator>
  <cp:lastModifiedBy>Barbara Klein</cp:lastModifiedBy>
  <cp:lastPrinted>2025-02-06T22:22:51Z</cp:lastPrinted>
  <dcterms:created xsi:type="dcterms:W3CDTF">2024-11-07T22:41:02Z</dcterms:created>
  <dcterms:modified xsi:type="dcterms:W3CDTF">2025-04-27T18:14:05Z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0x010100B527D744944DBB429BAB2DF8D3BD79A4</vt:lpwstr>
  </property>
</Properties>
</file>